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1C8B1B06-9589-A447-BAFD-8108DC43EA8C}"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<sst xmlns="http://schemas.openxmlformats.org/spreadsheetml/2006/main" count="624" uniqueCount="299">
  <si>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</si>
  <si>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</si>
  <si>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</si>
  <si>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</si>
  <si>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</si>
  <si>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</si>
  <si>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</si>
  <si>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</si>
  <si>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</si>
  <si>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</si>
  <si>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</si>
  <si>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</si>
  <si>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</si>
  <si>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</si>
  <si>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</si>
  <si>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</si>
  <si>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</si>
  <si>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</si>
  <si>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</si>
  <si>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</si>
  <si>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</si>
  <si>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</si>
  <si>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</si>
  <si>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</si>
  <si>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</si>
  <si>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</si>
  <si>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</si>
  <si>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</si>
  <si>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</si>
  <si>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</si>
  <si>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</si>
  <si>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</si>
  <si>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</si>
  <si>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</si>
  <si>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</si>
  <si>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</si>
  <si>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</si>
  <si>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</si>
  <si>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</si>
  <si>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</si>
  <si>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</si>
  <si>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</si>
  <si>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</si>
  <si>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</si>
  <si>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</si>
  <si>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</si>
  <si>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</si>
  <si>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</si>
  <si>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</si>
  <si>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</si>
  <si>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</si>
  <si>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</si>
  <si>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</si>
  <si>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</si>
  <si>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</si>
  <si>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</si>
  <si>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</si>
  <si>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</si>
  <si>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</si>
  <si>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</si>
  <si>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</si>
  <si>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</si>
  <si>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</si>
  <si>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</si>
  <si>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</si>
  <si>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</si>
  <si>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</si>
  <si>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</si>
  <si>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</si>
  <si>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</si>
  <si>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</si>
  <si>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</si>
  <si>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</si>
  <si>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</si>
  <si>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</si>
  <si>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</si>
  <si>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</si>
  <si>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</si>
  <si>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</si>
  <si>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</si>
  <si>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</si>
  <si>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</si>
  <si>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</si>
  <si>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</si>
  <si>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</si>
  <si>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</si>
  <si>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</si>
  <si>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</si>
  <si>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</si>
  <si>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</si>
  <si>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</si>
  <si>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</si>
  <si>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</si>
  <si>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</si>
  <si>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</si>
  <si>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</si>
  <si>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</si>
  <si>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</si>
  <si>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</si>
  <si>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</si>
  <si>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</si>
  <si>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</si>
  <si>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</si>
  <si>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</si>
  <si>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</si>
  <si>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</si>
  <si>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</si>
  <si>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</si>
  <si>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</si>
  <si>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</si>
  <si>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</si>
  <si>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</si>
  <si>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</si>
  <si>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</si>
  <si>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</si>
  <si>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</si>
  <si>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</si>
  <si>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</si>
  <si>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</si>
  <si>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</si>
  <si>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</si>
  <si>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</si>
  <si>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</si>
  <si>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</si>
  <si>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</si>
  <si>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</si>
  <si>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</si>
  <si>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</si>
  <si>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</si>
  <si>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</si>
  <si>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</si>
  <si>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</si>
  <si>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</si>
  <si>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</si>
  <si>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</si>
  <si>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</si>
  <si>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</si>
  <si>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</si>
  <si>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</si>
  <si>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</si>
  <si>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</si>
  <si>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</si>
  <si>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</si>
  <si>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</si>
  <si>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</si>
  <si>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</si>
  <si>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</si>
  <si>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</si>
  <si>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</si>
  <si>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</si>
  <si>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</si>
  <si>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</si>
  <si>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</si>
  <si>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</si>
  <si>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</si>
  <si>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</si>
  <si>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</si>
  <si>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</si>
  <si>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</si>
  <si>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</si>
  <si>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</si>
  <si>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</si>
  <si>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</si>
  <si>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</si>
  <si>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</si>
  <si>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</si>
  <si>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</si>
  <si>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</si>
  <si>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</si>
  <si>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</si>
  <si>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</si>
  <si>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</si>
  <si>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</si>
  <si>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</si>
  <si>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</si>
  <si>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</si>
  <si>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</si>
  <si>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</si>
  <si>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</si>
  <si>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</si>
  <si>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</si>
  <si>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</si>
  <si>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</si>
  <si>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</si>
  <si>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</si>
  <si>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</si>
  <si>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</si>
  <si>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</si>
  <si>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</si>
  <si>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</si>
  <si>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</si>
  <si>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</si>
  <si>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</si>
  <si>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</si>
  <si>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</si>
  <si>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</si>
  <si>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</si>
  <si>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</si>
  <si>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</si>
  <si>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</si>
  <si>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</si>
  <si>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</si>
  <si>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</si>
  <si>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</si>
  <si>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</si>
  <si>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</si>
  <si>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</si>
  <si>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</si>
  <si>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</si>
  <si>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</si>
  <si>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</si>
  <si>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</si>
  <si>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</si>
  <si>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</si>
  <si>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</si>
  <si>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</si>
  <si>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</si>
  <si>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</si>
  <si>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</si>
  <si>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</si>
  <si>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</si>
  <si>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</si>
  <si>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</si>
  <si>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</si>
  <si>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</si>
  <si>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</si>
  <si>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</si>
  <si>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</si>
  <si>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</si>
  <si>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</si>
  <si>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</si>
  <si>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</si>
  <si>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</si>
  <si>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</si>
  <si>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</si>
  <si>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</si>
  <si>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</si>
  <si>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</si>
  <si>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</si>
  <si>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</si>
  <si>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</si>
  <si>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</si>
  <si>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</si>
  <si>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</si>
  <si>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</si>
  <si>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</si>
  <si>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</si>
  <si>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</si>
  <si>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</si>
  <si>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</si>
  <si>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</si>
  <si>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</si>
  <si>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</si>
  <si>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</si>
  <si>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</si>
  <si>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</si>
  <si>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</si>
  <si>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</si>
  <si>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</si>
  <si>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</si>
  <si>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</si>
  <si>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</si>
  <si>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</si>
  <si>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</si>
  <si>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</si>
  <si>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</si>
  <si>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</si>
  <si>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</si>
  <si>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</si>
  <si>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</si>
  <si>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</si>
  <si>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</si>
  <si>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</si>
  <si>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</si>
  <si>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</si>
  <si>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</si>
  <si>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</si>
  <si>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</si>
  <si>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</si>
  <si>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</si>
  <si>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</si>
  <si>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</si>
  <si>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</si>
  <si>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</si>
  <si>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</si>
  <si>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</si>
  <si>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</si>
  <si>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</si>
  <si>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</si>
  <si>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</si>
  <si>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</si>
  <si>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</si>
  <si>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</si>
  <si>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C</t>
  </si>
  <si>
    <t>D</t>
    <phoneticPr fontId="2"/>
  </si>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</sst>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9" workbookViewId="0">
      <selection activeCell="O29" sqref="O29"/>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290</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292</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292</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294</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294</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293</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287</v>
      </c>
      <c r="B33" s="209" t="s">
        <v>59</v>
      </c>
      <c r="C33" s="209" t="s">
        <v>36</v>
      </c>
      <c r="D33" s="209">
        <v>2</v>
      </c>
      <c r="E33" s="210"/>
      <c r="F33" s="211"/>
      <c r="G33" s="211"/>
      <c r="H33" s="212"/>
      <c r="I33" s="213"/>
      <c r="J33" s="210"/>
      <c r="K33" s="211">
        <v>200</v>
      </c>
      <c r="L33" s="213"/>
      <c r="M33" s="22" t="s">
        <v>291</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288</v>
      </c>
      <c r="B34" s="214" t="s">
        <v>59</v>
      </c>
      <c r="C34" s="214" t="s">
        <v>36</v>
      </c>
      <c r="D34" s="214">
        <v>2</v>
      </c>
      <c r="E34" s="215"/>
      <c r="F34" s="216"/>
      <c r="G34" s="216"/>
      <c r="H34" s="217"/>
      <c r="I34" s="218"/>
      <c r="J34" s="215"/>
      <c r="K34" s="216">
        <v>200</v>
      </c>
      <c r="L34" s="218"/>
      <c r="M34" s="29" t="s">
        <v>291</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289</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87"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30</v>
      </c>
      <c r="F3" s="123">
        <f>VLOOKUP(D3,履修状況!$A$4:$AH$60,27,FALSE)</f>
        <v>0</v>
      </c>
      <c r="G3" s="285" t="s">
        <v>100</v>
      </c>
      <c r="H3" s="286"/>
      <c r="I3" s="124"/>
      <c r="J3" s="124"/>
      <c r="K3" s="287">
        <f>L3-AD3</f>
        <v>-30</v>
      </c>
      <c r="L3" s="290">
        <f>SUM(E3:E5,I3:I5)</f>
        <v>30</v>
      </c>
      <c r="M3" s="291">
        <f>N3-AD3</f>
        <v>0</v>
      </c>
      <c r="N3" s="297">
        <f>SUM(F3:F5,J3:J5,L3)</f>
        <v>60</v>
      </c>
      <c r="O3" s="287">
        <f>MIN(K3,K6,P3-AE3)</f>
        <v>-50</v>
      </c>
      <c r="P3" s="298">
        <f>L3+L6</f>
        <v>80</v>
      </c>
      <c r="Q3" s="291">
        <f>MIN(M3,M6,R3-AE3)</f>
        <v>0</v>
      </c>
      <c r="R3" s="301">
        <f>N3+N6</f>
        <v>140</v>
      </c>
      <c r="S3" s="287">
        <f>MIN(O3,O13,O28,O39,O52,T3-AF3)</f>
        <v>-295</v>
      </c>
      <c r="T3" s="298">
        <f>SUM(P3:P61)</f>
        <v>455</v>
      </c>
      <c r="U3" s="291">
        <f>MIN(Q3,Q13,Q28,Q39,Q52,V3-AF3)</f>
        <v>0</v>
      </c>
      <c r="V3" s="301">
        <f>SUM(R3:R61)</f>
        <v>750</v>
      </c>
      <c r="X3" s="125" t="s">
        <v>101</v>
      </c>
      <c r="Y3" s="126">
        <f>Z3-Y8</f>
        <v>-6</v>
      </c>
      <c r="Z3" s="127">
        <f>SUM(AJ4:AJ8)</f>
        <v>7</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0</v>
      </c>
      <c r="F4" s="123">
        <f>VLOOKUP(D4,履修状況!$A$4:$AH$60,27,FALSE)</f>
        <v>30</v>
      </c>
      <c r="G4" s="285" t="s">
        <v>104</v>
      </c>
      <c r="H4" s="286"/>
      <c r="I4" s="124"/>
      <c r="J4" s="124"/>
      <c r="K4" s="288"/>
      <c r="L4" s="290"/>
      <c r="M4" s="292"/>
      <c r="N4" s="297"/>
      <c r="O4" s="288"/>
      <c r="P4" s="299"/>
      <c r="Q4" s="292"/>
      <c r="R4" s="302"/>
      <c r="S4" s="288"/>
      <c r="T4" s="299"/>
      <c r="U4" s="292"/>
      <c r="V4" s="302"/>
      <c r="X4" s="132" t="s">
        <v>102</v>
      </c>
      <c r="Y4" s="133">
        <f>Z4-Y9</f>
        <v>-4</v>
      </c>
      <c r="Z4" s="134">
        <f>SUM(AK4:AK8)</f>
        <v>13</v>
      </c>
      <c r="AA4" s="135">
        <f>AB4-Y9</f>
        <v>-4</v>
      </c>
      <c r="AB4" s="129">
        <f>SUM(AK4:AK11)</f>
        <v>13</v>
      </c>
      <c r="AD4" s="294"/>
      <c r="AE4" s="294"/>
      <c r="AF4" s="294"/>
      <c r="AI4" s="130" t="s">
        <v>105</v>
      </c>
      <c r="AJ4" s="130">
        <f>SUMIFS(履修状況!$D$5:$D$42,履修状況!$M$5:$M$42,$AI4,履修状況!$C$5:$C$42,AJ$3)</f>
        <v>0</v>
      </c>
      <c r="AK4" s="130">
        <f>SUMIFS(履修状況!$D$5:$D$42,履修状況!$M$5:$M$42,$AI4,履修状況!$C$5:$C$42,AK$3)</f>
        <v>0</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-10</v>
      </c>
      <c r="Z5" s="139">
        <f>SUM(Z3:Z4)</f>
        <v>20</v>
      </c>
      <c r="AA5" s="140">
        <f>AB5-Y10</f>
        <v>-4</v>
      </c>
      <c r="AB5" s="141">
        <f>SUM(AB3:AB4)</f>
        <v>26</v>
      </c>
      <c r="AD5" s="294"/>
      <c r="AE5" s="294"/>
      <c r="AF5" s="294"/>
      <c r="AI5" s="130" t="s">
        <v>109</v>
      </c>
      <c r="AJ5" s="130">
        <f>SUMIFS(履修状況!$D$5:$D$42,履修状況!$M$5:$M$42,$AI5,履修状況!$C$5:$C$42,AJ$3)</f>
        <v>7</v>
      </c>
      <c r="AK5" s="130">
        <f>SUMIFS(履修状況!$D$5:$D$42,履修状況!$M$5:$M$42,$AI5,履修状況!$C$5:$C$42,AK$3)</f>
        <v>7</v>
      </c>
    </row>
    <row r="6" spans="1:37" ht="16" thickBot="1">
      <c r="A6" s="283"/>
      <c r="B6" s="284"/>
      <c r="C6" s="284" t="s">
        <v>110</v>
      </c>
      <c r="D6" s="116" t="s">
        <v>111</v>
      </c>
      <c r="E6" s="122">
        <f>VLOOKUP(D6,履修状況!$A$4:$AH$60,19,FALSE)</f>
        <v>30</v>
      </c>
      <c r="F6" s="123">
        <f>VLOOKUP(D6,履修状況!$A$4:$AH$60,27,FALSE)</f>
        <v>0</v>
      </c>
      <c r="G6" s="285" t="s">
        <v>112</v>
      </c>
      <c r="H6" s="286"/>
      <c r="I6" s="124"/>
      <c r="J6" s="124"/>
      <c r="K6" s="287">
        <f>L6-AD6</f>
        <v>-10</v>
      </c>
      <c r="L6" s="290">
        <f>SUM(E6:E12,I6:I12)</f>
        <v>50</v>
      </c>
      <c r="M6" s="291">
        <f>N6-AD6</f>
        <v>20</v>
      </c>
      <c r="N6" s="297">
        <f>SUM(F6:F12,J6:J12,L6)</f>
        <v>80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4</v>
      </c>
    </row>
    <row r="7" spans="1:37" ht="16" customHeight="1" thickBot="1">
      <c r="A7" s="283"/>
      <c r="B7" s="284"/>
      <c r="C7" s="284"/>
      <c r="D7" s="116" t="s">
        <v>114</v>
      </c>
      <c r="E7" s="122">
        <f>VLOOKUP(D7,履修状況!$A$4:$AH$60,19,FALSE)</f>
        <v>0</v>
      </c>
      <c r="F7" s="123">
        <f>VLOOKUP(D7,履修状況!$A$4:$AH$60,27,FALSE)</f>
        <v>30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2</v>
      </c>
    </row>
    <row r="8" spans="1:37" ht="16" thickBot="1">
      <c r="A8" s="283"/>
      <c r="B8" s="284"/>
      <c r="C8" s="284"/>
      <c r="D8" s="116" t="s">
        <v>118</v>
      </c>
      <c r="E8" s="122">
        <f>VLOOKUP(D8,履修状況!$A$4:$AH$60,19,FALSE)</f>
        <v>20</v>
      </c>
      <c r="F8" s="123">
        <f>VLOOKUP(D8,履修状況!$A$4:$AH$60,27,FALSE)</f>
        <v>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0</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6</v>
      </c>
      <c r="AK10" s="130">
        <f>SUMIFS(履修状況!$D$5:$D$42,履修状況!$M$5:$M$42,$AI10,履修状況!$C$5:$C$42,AK$3)</f>
        <v>0</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10</v>
      </c>
      <c r="F13" s="123">
        <f>VLOOKUP(D13,履修状況!$A$4:$AH$60,28,FALSE)</f>
        <v>0</v>
      </c>
      <c r="G13" s="285" t="s">
        <v>130</v>
      </c>
      <c r="H13" s="286"/>
      <c r="I13" s="124">
        <v>20</v>
      </c>
      <c r="J13" s="124"/>
      <c r="K13" s="287">
        <f>L13-AD13</f>
        <v>-10</v>
      </c>
      <c r="L13" s="290">
        <f>SUM(E13:E18,I13:I18)</f>
        <v>50</v>
      </c>
      <c r="M13" s="291">
        <f>N13-AD13</f>
        <v>30</v>
      </c>
      <c r="N13" s="297">
        <f>SUM(F13:F18,J13:J18,L13)</f>
        <v>90</v>
      </c>
      <c r="O13" s="287">
        <f>MIN(K13,K19,P13-AE13)</f>
        <v>-40</v>
      </c>
      <c r="P13" s="298">
        <f>L13+L19</f>
        <v>90</v>
      </c>
      <c r="Q13" s="291">
        <f>MIN(M13,M19,R13-AE13)</f>
        <v>10</v>
      </c>
      <c r="R13" s="301">
        <f>N13+N19</f>
        <v>160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20</v>
      </c>
      <c r="F14" s="123">
        <f>VLOOKUP(D14,履修状況!$A$4:$AH$60,28,FALSE)</f>
        <v>0</v>
      </c>
      <c r="G14" s="285" t="s">
        <v>131</v>
      </c>
      <c r="H14" s="286"/>
      <c r="I14" s="124"/>
      <c r="J14" s="124">
        <v>20</v>
      </c>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0</v>
      </c>
      <c r="F15" s="123">
        <f>VLOOKUP(D15,履修状況!$A$4:$AH$60,28,FALSE)</f>
        <v>20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30</v>
      </c>
      <c r="F19" s="123">
        <f>VLOOKUP(D19,履修状況!$A$4:$AH$60,28,FALSE)</f>
        <v>0</v>
      </c>
      <c r="G19" s="285" t="s">
        <v>112</v>
      </c>
      <c r="H19" s="286"/>
      <c r="I19" s="124"/>
      <c r="J19" s="124"/>
      <c r="K19" s="287">
        <f>L19-AD19</f>
        <v>-20</v>
      </c>
      <c r="L19" s="290">
        <f>SUM(E19:E27,I19:I27)</f>
        <v>40</v>
      </c>
      <c r="M19" s="291">
        <f>N19-AD19</f>
        <v>10</v>
      </c>
      <c r="N19" s="297">
        <f>SUM(F19:F27,J19:J27,L19)</f>
        <v>70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0</v>
      </c>
      <c r="F20" s="123">
        <f>VLOOKUP(D20,履修状況!$A$4:$AH$60,28,FALSE)</f>
        <v>30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10</v>
      </c>
      <c r="F21" s="123">
        <f>VLOOKUP(D21,履修状況!$A$4:$AH$60,28,FALSE)</f>
        <v>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30</v>
      </c>
      <c r="F28" s="123">
        <f>VLOOKUP(D28,履修状況!$A$4:$AH$60,29,FALSE)</f>
        <v>0</v>
      </c>
      <c r="G28" s="285" t="s">
        <v>145</v>
      </c>
      <c r="H28" s="286"/>
      <c r="I28" s="124"/>
      <c r="J28" s="124"/>
      <c r="K28" s="287">
        <f>L28-AD28</f>
        <v>-30</v>
      </c>
      <c r="L28" s="290">
        <f>SUM(E28:E30,I28:I30)</f>
        <v>30</v>
      </c>
      <c r="M28" s="291">
        <f>N28-AD28</f>
        <v>0</v>
      </c>
      <c r="N28" s="297">
        <f>SUM(F28:F30,J28:J30,L28)</f>
        <v>60</v>
      </c>
      <c r="O28" s="287">
        <f>MIN(K28,K31,P28-AE28)</f>
        <v>-45</v>
      </c>
      <c r="P28" s="298">
        <f>L28+L31</f>
        <v>85</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0</v>
      </c>
      <c r="F29" s="123">
        <f>VLOOKUP(D29,履修状況!$A$4:$AH$60,29,FALSE)</f>
        <v>30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45</v>
      </c>
      <c r="F31" s="123">
        <f>VLOOKUP(D31,履修状況!$A$4:$AH$60,29,FALSE)</f>
        <v>0</v>
      </c>
      <c r="G31" s="285" t="s">
        <v>150</v>
      </c>
      <c r="H31" s="286"/>
      <c r="I31" s="124"/>
      <c r="J31" s="124"/>
      <c r="K31" s="287">
        <f>L31-AD31</f>
        <v>-5</v>
      </c>
      <c r="L31" s="290">
        <f>SUM(E31:E38,I31:I38)</f>
        <v>55</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0</v>
      </c>
      <c r="F32" s="123">
        <f>VLOOKUP(D32,履修状況!$A$4:$AH$60,29,FALSE)</f>
        <v>45</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10</v>
      </c>
      <c r="F33" s="123">
        <f>VLOOKUP(D33,履修状況!$A$4:$AH$60,29,FALSE)</f>
        <v>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30</v>
      </c>
      <c r="F39" s="123">
        <f>VLOOKUP(D39,履修状況!$A$4:$AH$60,30,FALSE)</f>
        <v>0</v>
      </c>
      <c r="G39" s="285" t="s">
        <v>156</v>
      </c>
      <c r="H39" s="286"/>
      <c r="I39" s="124"/>
      <c r="J39" s="124"/>
      <c r="K39" s="287">
        <f>L39-AD39</f>
        <v>-30</v>
      </c>
      <c r="L39" s="290">
        <f>SUM(E39:E44,I39:I44)</f>
        <v>30</v>
      </c>
      <c r="M39" s="291">
        <f>N39-AD39</f>
        <v>0</v>
      </c>
      <c r="N39" s="297">
        <f>SUM(F39:F44,J39:J44,L39)</f>
        <v>60</v>
      </c>
      <c r="O39" s="287">
        <f>MIN(K39,K45,P39-AE39)</f>
        <v>-60</v>
      </c>
      <c r="P39" s="298">
        <f>L39+L45</f>
        <v>70</v>
      </c>
      <c r="Q39" s="291">
        <f>MIN(M39,M45,R39-AE39)</f>
        <v>0</v>
      </c>
      <c r="R39" s="301">
        <f>N39+N45</f>
        <v>130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0</v>
      </c>
      <c r="F40" s="123">
        <f>VLOOKUP(D40,履修状況!$A$4:$AH$60,30,FALSE)</f>
        <v>30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30</v>
      </c>
      <c r="F45" s="123">
        <f>VLOOKUP(D45,履修状況!$A$4:$AH$60,30,FALSE)</f>
        <v>0</v>
      </c>
      <c r="G45" s="285" t="s">
        <v>160</v>
      </c>
      <c r="H45" s="286"/>
      <c r="I45" s="124"/>
      <c r="J45" s="124"/>
      <c r="K45" s="287">
        <f>L45-AD45</f>
        <v>-20</v>
      </c>
      <c r="L45" s="290">
        <f>SUM(E45:E51,I45:I51)</f>
        <v>40</v>
      </c>
      <c r="M45" s="291">
        <f>N45-AD45</f>
        <v>10</v>
      </c>
      <c r="N45" s="297">
        <f>SUM(F45:F51,J45:J51,L45)</f>
        <v>70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0</v>
      </c>
      <c r="F46" s="123">
        <f>VLOOKUP(D46,履修状況!$A$4:$AH$60,30,FALSE)</f>
        <v>30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10</v>
      </c>
      <c r="F47" s="123">
        <f>VLOOKUP(D47,履修状況!$A$4:$AH$60,30,FALSE)</f>
        <v>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30</v>
      </c>
      <c r="F52" s="123">
        <f>VLOOKUP(D52,履修状況!$A$4:$AH$60,31,FALSE)</f>
        <v>0</v>
      </c>
      <c r="G52" s="285" t="s">
        <v>163</v>
      </c>
      <c r="H52" s="286"/>
      <c r="I52" s="124"/>
      <c r="J52" s="124"/>
      <c r="K52" s="287">
        <f>L52-AD52</f>
        <v>-30</v>
      </c>
      <c r="L52" s="290">
        <f>SUM(E52:E54,I52:I54)</f>
        <v>30</v>
      </c>
      <c r="M52" s="291">
        <f>N52-AD52</f>
        <v>0</v>
      </c>
      <c r="N52" s="297">
        <f>SUM(F52:F54,J52:J54,L52)</f>
        <v>60</v>
      </c>
      <c r="O52" s="287">
        <f>P52-AE52</f>
        <v>0</v>
      </c>
      <c r="P52" s="298">
        <f>L52+L55</f>
        <v>130</v>
      </c>
      <c r="Q52" s="291">
        <f>MIN(M52,M55,R52-AE52)</f>
        <v>0</v>
      </c>
      <c r="R52" s="301">
        <f>N52+N55</f>
        <v>160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0</v>
      </c>
      <c r="F53" s="123">
        <f>VLOOKUP(D53,履修状況!$A$4:$AH$60,31,FALSE)</f>
        <v>30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100</v>
      </c>
      <c r="F55" s="123">
        <f>VLOOKUP(D55,履修状況!$A$4:$AH$60,31,FALSE)</f>
        <v>0</v>
      </c>
      <c r="G55" s="285" t="s">
        <v>169</v>
      </c>
      <c r="H55" s="286"/>
      <c r="I55" s="124"/>
      <c r="J55" s="124"/>
      <c r="K55" s="287">
        <f>L55-AD55</f>
        <v>40</v>
      </c>
      <c r="L55" s="290">
        <f>SUM(E55:E61,I55:I61)</f>
        <v>100</v>
      </c>
      <c r="M55" s="291">
        <f>N55-AD55</f>
        <v>40</v>
      </c>
      <c r="N55" s="297">
        <f>SUM(F55:F61,J55:J61,L55)</f>
        <v>100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50</v>
      </c>
      <c r="F62" s="123">
        <f>VLOOKUP(D62,履修状況!$A$4:$AH$60,32,FALSE)</f>
        <v>0</v>
      </c>
      <c r="G62" s="304"/>
      <c r="H62" s="305"/>
      <c r="I62" s="124"/>
      <c r="J62" s="124"/>
      <c r="K62" s="287">
        <f>L62-AD62</f>
        <v>110</v>
      </c>
      <c r="L62" s="290">
        <f>SUM(E62:E66,I62:I66)</f>
        <v>180</v>
      </c>
      <c r="M62" s="291">
        <f>N62-AD62</f>
        <v>110</v>
      </c>
      <c r="N62" s="301">
        <f>SUM(F62:F66,J62:J66,L62)</f>
        <v>180</v>
      </c>
      <c r="O62" s="287">
        <f>MIN(K62,K67,K88,P62-AE62)</f>
        <v>-275</v>
      </c>
      <c r="P62" s="298">
        <f>L62+L67+L88</f>
        <v>625</v>
      </c>
      <c r="Q62" s="291">
        <f>MIN(M62,M67,M88,R62-AE62)</f>
        <v>20</v>
      </c>
      <c r="R62" s="301">
        <f>N62+N67+N88</f>
        <v>920</v>
      </c>
      <c r="S62" s="287">
        <f>MIN(O62,O96,O125,T62-AE62)</f>
        <v>-275</v>
      </c>
      <c r="T62" s="298">
        <f>SUM(P62:P128)</f>
        <v>1785</v>
      </c>
      <c r="U62" s="291">
        <f>MIN(Q62,Q96,Q125,V62-AF62)</f>
        <v>-10</v>
      </c>
      <c r="V62" s="301">
        <f>SUM(R62:R128)</f>
        <v>2240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130</v>
      </c>
      <c r="F63" s="123">
        <f>VLOOKUP(D63,履修状況!$A$4:$AH$60,32,FALSE)</f>
        <v>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130</v>
      </c>
      <c r="F67" s="123">
        <f>VLOOKUP(D67,履修状況!$A$4:$AH$60,32,FALSE)</f>
        <v>0</v>
      </c>
      <c r="G67" s="285" t="s">
        <v>183</v>
      </c>
      <c r="H67" s="286"/>
      <c r="I67" s="124"/>
      <c r="J67" s="124"/>
      <c r="K67" s="287">
        <f>L67-AD67</f>
        <v>15</v>
      </c>
      <c r="L67" s="290">
        <f>SUM(E67:E87,I67:I87)</f>
        <v>445</v>
      </c>
      <c r="M67" s="291">
        <f>N67-AD67</f>
        <v>180</v>
      </c>
      <c r="N67" s="301">
        <f>SUM(F67:F84,J67:J87,L67)</f>
        <v>610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0</v>
      </c>
      <c r="F68" s="123">
        <f>VLOOKUP(D68,履修状況!$A$4:$AH$60,32,FALSE)</f>
        <v>130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35</v>
      </c>
      <c r="F69" s="123">
        <f>VLOOKUP(D69,履修状況!$A$4:$AH$60,32,FALSE)</f>
        <v>0</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0</v>
      </c>
      <c r="F70" s="123">
        <f>VLOOKUP(D70,履修状況!$A$4:$AH$60,32,FALSE)</f>
        <v>35</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50</v>
      </c>
      <c r="F71" s="123">
        <f>VLOOKUP(D71,履修状況!$A$4:$AH$60,32,FALSE)</f>
        <v>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30</v>
      </c>
      <c r="F72" s="123">
        <f>VLOOKUP(D72,履修状況!$A$4:$AH$60,32,FALSE)</f>
        <v>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0</v>
      </c>
      <c r="F74" s="123">
        <f>VLOOKUP(D74,履修状況!$A$4:$AH$60,32,FALSE)</f>
        <v>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0</v>
      </c>
      <c r="F77" s="123">
        <f>VLOOKUP(D77,履修状況!$A$4:$AH$60,32,FALSE)</f>
        <v>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50</v>
      </c>
      <c r="F78" s="123">
        <f>VLOOKUP(D78,履修状況!$A$4:$AH$60,32,FALSE)</f>
        <v>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50</v>
      </c>
      <c r="F80" s="123">
        <f>VLOOKUP(D80,履修状況!$A$4:$AH$60,32,FALSE)</f>
        <v>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100</v>
      </c>
      <c r="F83" s="123">
        <f>VLOOKUP(D83,履修状況!$A$4:$AH$60,32,FALSE)</f>
        <v>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0</v>
      </c>
      <c r="F88" s="123">
        <f>VLOOKUP(D88,履修状況!$A$4:$AH$60,32,FALSE)</f>
        <v>130</v>
      </c>
      <c r="G88" s="285" t="s">
        <v>187</v>
      </c>
      <c r="H88" s="286"/>
      <c r="I88" s="124"/>
      <c r="J88" s="124"/>
      <c r="K88" s="287">
        <f>L88-AD88</f>
        <v>-100</v>
      </c>
      <c r="L88" s="290">
        <f>SUM(E88:E95,I88:I95)</f>
        <v>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30</v>
      </c>
      <c r="F96" s="123">
        <f>VLOOKUP(D96,履修状況!$A$4:$AH$60,33,FALSE)</f>
        <v>0</v>
      </c>
      <c r="G96" s="285" t="s">
        <v>157</v>
      </c>
      <c r="H96" s="286"/>
      <c r="I96" s="124"/>
      <c r="J96" s="124"/>
      <c r="K96" s="287">
        <f>L96-AD96</f>
        <v>60</v>
      </c>
      <c r="L96" s="290">
        <f>SUM(E96:E107,I96:I107)</f>
        <v>160</v>
      </c>
      <c r="M96" s="291">
        <f>N96-AD96</f>
        <v>90</v>
      </c>
      <c r="N96" s="297">
        <f>SUM(F96:F107,J96:J107,L96)</f>
        <v>190</v>
      </c>
      <c r="O96" s="287">
        <f>MIN(K96,K108,K112,P96-AE96)</f>
        <v>0</v>
      </c>
      <c r="P96" s="298">
        <f>L96+L108+L112</f>
        <v>1060</v>
      </c>
      <c r="Q96" s="291">
        <f>MIN(M96,M108,M112,R96-AE96)</f>
        <v>90</v>
      </c>
      <c r="R96" s="301">
        <f>N96+N108+N112</f>
        <v>1190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0</v>
      </c>
      <c r="F97" s="123">
        <f>VLOOKUP(D97,履修状況!$A$4:$AH$60,33,FALSE)</f>
        <v>30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295</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296</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297</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100</v>
      </c>
      <c r="F103" s="123">
        <f>-F124</f>
        <v>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30</v>
      </c>
      <c r="F104" s="123">
        <f>VLOOKUP(D104,履修状況!$A$4:$AH$60,33,FALSE)</f>
        <v>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150</v>
      </c>
      <c r="F108" s="123">
        <f>VLOOKUP(D108,履修状況!$A$4:$AH$60,33,FALSE)</f>
        <v>0</v>
      </c>
      <c r="G108" s="285" t="s">
        <v>199</v>
      </c>
      <c r="H108" s="286"/>
      <c r="I108" s="124"/>
      <c r="J108" s="124"/>
      <c r="K108" s="287">
        <f>L108-AD108</f>
        <v>150</v>
      </c>
      <c r="L108" s="290">
        <f>SUM(E108:E111,I108:I111)</f>
        <v>300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150</v>
      </c>
      <c r="F110" s="123">
        <f>VLOOKUP(D110,履修状況!$A$4:$AH$60,33,FALSE)</f>
        <v>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100</v>
      </c>
      <c r="F112" s="123">
        <f>VLOOKUP(D112,履修状況!$A$4:$AH$60,33,FALSE)</f>
        <v>0</v>
      </c>
      <c r="G112" s="285" t="s">
        <v>202</v>
      </c>
      <c r="H112" s="286"/>
      <c r="I112" s="124"/>
      <c r="J112" s="124"/>
      <c r="K112" s="287">
        <f>L112-AD112</f>
        <v>0</v>
      </c>
      <c r="L112" s="290">
        <f>SUM(E112:E124,I112:I124)</f>
        <v>600</v>
      </c>
      <c r="M112" s="291">
        <f>N112-AD112</f>
        <v>100</v>
      </c>
      <c r="N112" s="297">
        <f>SUM(F112:F124,J112:J124,L112)</f>
        <v>700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0</v>
      </c>
      <c r="F113" s="123">
        <f>VLOOKUP(D113,履修状況!$A$4:$AH$60,33,FALSE)</f>
        <v>100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0</v>
      </c>
      <c r="F118" s="123">
        <f>VLOOKUP(D118,履修状況!$A$4:$AH$60,33,FALSE)</f>
        <v>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（例）ロボット制御論</v>
      </c>
      <c r="E119" s="122">
        <f>VLOOKUP(D119,履修状況!$A$4:$AH$60,25,FALSE)</f>
        <v>200</v>
      </c>
      <c r="F119" s="123">
        <f>VLOOKUP(D119,履修状況!$A$4:$AH$60,33,FALSE)</f>
        <v>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（例）運動制御論</v>
      </c>
      <c r="E120" s="122">
        <f>VLOOKUP(D120,履修状況!$A$4:$AH$60,25,FALSE)</f>
        <v>200</v>
      </c>
      <c r="F120" s="123">
        <f>VLOOKUP(D120,履修状況!$A$4:$AH$60,33,FALSE)</f>
        <v>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（例）システムモデリング</v>
      </c>
      <c r="E121" s="122">
        <f>VLOOKUP(D121,履修状況!$A$4:$AH$60,25,FALSE)</f>
        <v>200</v>
      </c>
      <c r="F121" s="123">
        <f>VLOOKUP(D121,履修状況!$A$4:$AH$60,33,FALSE)</f>
        <v>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v>-100</v>
      </c>
      <c r="F124" s="124"/>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30</v>
      </c>
      <c r="F125" s="123">
        <f>VLOOKUP(D125,履修状況!$A$4:$AH$60,34,FALSE)</f>
        <v>0</v>
      </c>
      <c r="G125" s="285" t="s">
        <v>208</v>
      </c>
      <c r="H125" s="286"/>
      <c r="I125" s="124">
        <v>40</v>
      </c>
      <c r="J125" s="124"/>
      <c r="K125" s="287">
        <f>L125-AD125</f>
        <v>-30</v>
      </c>
      <c r="L125" s="290">
        <f>SUM(E125:E126,I125:I126)</f>
        <v>70</v>
      </c>
      <c r="M125" s="291">
        <f>N125-AD125</f>
        <v>0</v>
      </c>
      <c r="N125" s="297">
        <f>SUM(F125:F126,J125:J126,L125)</f>
        <v>100</v>
      </c>
      <c r="O125" s="287">
        <f>MIN(K125,K127,P125-AE125)</f>
        <v>-30</v>
      </c>
      <c r="P125" s="298">
        <f>L125+L127</f>
        <v>100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0</v>
      </c>
      <c r="F126" s="123">
        <f>VLOOKUP(D126,履修状況!$A$4:$AH$60,34,FALSE)</f>
        <v>30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30</v>
      </c>
      <c r="F127" s="123">
        <f>VLOOKUP(D127,履修状況!$A$4:$AH$60,34,FALSE)</f>
        <v>0</v>
      </c>
      <c r="G127" s="285" t="s">
        <v>210</v>
      </c>
      <c r="H127" s="286"/>
      <c r="I127" s="124"/>
      <c r="J127" s="124"/>
      <c r="K127" s="287">
        <f>L127-AD127</f>
        <v>0</v>
      </c>
      <c r="L127" s="290">
        <f>SUM(E127:E128,I127:I128)</f>
        <v>30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298</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8vwzekrrsBbRrZRUotU7aeVcfsi8Z1dT8njMcl2CyRPRX9qT9aeS2Wdc7ihFfTipovb5npcP6eX/3LynK63umw==" saltValue="ipTFfYcePn2YWAEfHNSLuw=="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小野妹子</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-30</v>
      </c>
      <c r="E6" s="168">
        <f>集計表!L3</f>
        <v>30</v>
      </c>
      <c r="F6" s="169">
        <f>集計表!M3</f>
        <v>0</v>
      </c>
      <c r="G6" s="170">
        <f>集計表!N3</f>
        <v>60</v>
      </c>
      <c r="H6" s="363">
        <f>集計表!O3</f>
        <v>-50</v>
      </c>
      <c r="I6" s="364">
        <f>集計表!P3</f>
        <v>80</v>
      </c>
      <c r="J6" s="365">
        <f>集計表!Q3</f>
        <v>0</v>
      </c>
      <c r="K6" s="366">
        <f>集計表!R3</f>
        <v>140</v>
      </c>
      <c r="L6" s="363">
        <f>集計表!S3</f>
        <v>-295</v>
      </c>
      <c r="M6" s="364">
        <f>集計表!T3</f>
        <v>455</v>
      </c>
      <c r="N6" s="365">
        <f>集計表!U3</f>
        <v>0</v>
      </c>
      <c r="O6" s="366">
        <f>集計表!V3</f>
        <v>750</v>
      </c>
      <c r="P6" s="165"/>
      <c r="Q6" s="171">
        <v>60</v>
      </c>
      <c r="R6" s="357">
        <v>130</v>
      </c>
      <c r="S6" s="357">
        <v>750</v>
      </c>
    </row>
    <row r="7" spans="1:27" ht="33.75" customHeight="1" thickBot="1">
      <c r="A7" s="359"/>
      <c r="B7" s="362"/>
      <c r="C7" s="172" t="s">
        <v>110</v>
      </c>
      <c r="D7" s="173">
        <f>集計表!K6</f>
        <v>-10</v>
      </c>
      <c r="E7" s="174">
        <f>集計表!L6</f>
        <v>50</v>
      </c>
      <c r="F7" s="175">
        <f>集計表!M6</f>
        <v>20</v>
      </c>
      <c r="G7" s="176">
        <f>集計表!N6</f>
        <v>80</v>
      </c>
      <c r="H7" s="351"/>
      <c r="I7" s="352"/>
      <c r="J7" s="349"/>
      <c r="K7" s="350"/>
      <c r="L7" s="347"/>
      <c r="M7" s="348"/>
      <c r="N7" s="367"/>
      <c r="O7" s="368"/>
      <c r="P7" s="165"/>
      <c r="Q7" s="171">
        <v>60</v>
      </c>
      <c r="R7" s="357"/>
      <c r="S7" s="357"/>
    </row>
    <row r="8" spans="1:27" ht="33.75" customHeight="1">
      <c r="A8" s="359"/>
      <c r="B8" s="361" t="s">
        <v>219</v>
      </c>
      <c r="C8" s="166" t="s">
        <v>128</v>
      </c>
      <c r="D8" s="167">
        <f>集計表!K13</f>
        <v>-10</v>
      </c>
      <c r="E8" s="168">
        <f>集計表!L13</f>
        <v>50</v>
      </c>
      <c r="F8" s="169">
        <f>集計表!M13</f>
        <v>30</v>
      </c>
      <c r="G8" s="170">
        <f>集計表!N13</f>
        <v>90</v>
      </c>
      <c r="H8" s="363">
        <f>集計表!O13</f>
        <v>-40</v>
      </c>
      <c r="I8" s="364">
        <f>集計表!P13</f>
        <v>90</v>
      </c>
      <c r="J8" s="365">
        <f>集計表!Q13</f>
        <v>10</v>
      </c>
      <c r="K8" s="366">
        <f>集計表!R13</f>
        <v>160</v>
      </c>
      <c r="L8" s="347"/>
      <c r="M8" s="348"/>
      <c r="N8" s="367"/>
      <c r="O8" s="368"/>
      <c r="P8" s="165"/>
      <c r="Q8" s="171">
        <v>60</v>
      </c>
      <c r="R8" s="357">
        <v>130</v>
      </c>
      <c r="S8" s="357"/>
    </row>
    <row r="9" spans="1:27" ht="33.75" customHeight="1" thickBot="1">
      <c r="A9" s="359"/>
      <c r="B9" s="362"/>
      <c r="C9" s="172" t="s">
        <v>133</v>
      </c>
      <c r="D9" s="173">
        <f>集計表!K19</f>
        <v>-20</v>
      </c>
      <c r="E9" s="174">
        <f>集計表!L19</f>
        <v>40</v>
      </c>
      <c r="F9" s="175">
        <f>集計表!M19</f>
        <v>10</v>
      </c>
      <c r="G9" s="176">
        <f>集計表!N19</f>
        <v>70</v>
      </c>
      <c r="H9" s="351"/>
      <c r="I9" s="352"/>
      <c r="J9" s="349"/>
      <c r="K9" s="350"/>
      <c r="L9" s="347"/>
      <c r="M9" s="348"/>
      <c r="N9" s="367"/>
      <c r="O9" s="368"/>
      <c r="P9" s="165"/>
      <c r="Q9" s="171">
        <v>60</v>
      </c>
      <c r="R9" s="357"/>
      <c r="S9" s="357"/>
    </row>
    <row r="10" spans="1:27" ht="33.75" customHeight="1">
      <c r="A10" s="359"/>
      <c r="B10" s="361" t="s">
        <v>220</v>
      </c>
      <c r="C10" s="166" t="s">
        <v>144</v>
      </c>
      <c r="D10" s="167">
        <f>集計表!K28</f>
        <v>-30</v>
      </c>
      <c r="E10" s="168">
        <f>集計表!L28</f>
        <v>30</v>
      </c>
      <c r="F10" s="169">
        <f>集計表!M28</f>
        <v>0</v>
      </c>
      <c r="G10" s="170">
        <f>集計表!N28</f>
        <v>60</v>
      </c>
      <c r="H10" s="363">
        <f>集計表!O28</f>
        <v>-45</v>
      </c>
      <c r="I10" s="364">
        <f>集計表!P28</f>
        <v>85</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-5</v>
      </c>
      <c r="E11" s="174">
        <f>集計表!L31</f>
        <v>55</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-30</v>
      </c>
      <c r="E12" s="168">
        <f>集計表!L39</f>
        <v>30</v>
      </c>
      <c r="F12" s="169">
        <f>集計表!M39</f>
        <v>0</v>
      </c>
      <c r="G12" s="170">
        <f>集計表!N39</f>
        <v>60</v>
      </c>
      <c r="H12" s="363">
        <f>集計表!O39</f>
        <v>-60</v>
      </c>
      <c r="I12" s="364">
        <f>集計表!P39</f>
        <v>70</v>
      </c>
      <c r="J12" s="365">
        <f>集計表!Q39</f>
        <v>0</v>
      </c>
      <c r="K12" s="366">
        <f>集計表!R39</f>
        <v>130</v>
      </c>
      <c r="L12" s="347"/>
      <c r="M12" s="348"/>
      <c r="N12" s="367"/>
      <c r="O12" s="368"/>
      <c r="P12" s="165"/>
      <c r="Q12" s="171">
        <v>60</v>
      </c>
      <c r="R12" s="357">
        <v>130</v>
      </c>
      <c r="S12" s="357"/>
    </row>
    <row r="13" spans="1:27" ht="33.75" customHeight="1" thickBot="1">
      <c r="A13" s="359"/>
      <c r="B13" s="362"/>
      <c r="C13" s="172" t="s">
        <v>159</v>
      </c>
      <c r="D13" s="173">
        <f>集計表!K45</f>
        <v>-20</v>
      </c>
      <c r="E13" s="174">
        <f>集計表!L45</f>
        <v>40</v>
      </c>
      <c r="F13" s="175">
        <f>集計表!M45</f>
        <v>10</v>
      </c>
      <c r="G13" s="176">
        <f>集計表!N45</f>
        <v>70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-30</v>
      </c>
      <c r="E14" s="168">
        <f>集計表!L52</f>
        <v>30</v>
      </c>
      <c r="F14" s="169">
        <f>集計表!M52</f>
        <v>0</v>
      </c>
      <c r="G14" s="170">
        <f>集計表!N52</f>
        <v>60</v>
      </c>
      <c r="H14" s="363">
        <f>集計表!O52</f>
        <v>0</v>
      </c>
      <c r="I14" s="364">
        <f>集計表!P52</f>
        <v>130</v>
      </c>
      <c r="J14" s="365">
        <f>集計表!Q52</f>
        <v>0</v>
      </c>
      <c r="K14" s="366">
        <f>集計表!R52</f>
        <v>160</v>
      </c>
      <c r="L14" s="347"/>
      <c r="M14" s="348"/>
      <c r="N14" s="367"/>
      <c r="O14" s="368"/>
      <c r="P14" s="165"/>
      <c r="Q14" s="171">
        <v>60</v>
      </c>
      <c r="R14" s="357">
        <v>130</v>
      </c>
      <c r="S14" s="357"/>
    </row>
    <row r="15" spans="1:27" ht="33.75" customHeight="1" thickBot="1">
      <c r="A15" s="360"/>
      <c r="B15" s="362"/>
      <c r="C15" s="172" t="s">
        <v>167</v>
      </c>
      <c r="D15" s="173">
        <f>集計表!K55</f>
        <v>40</v>
      </c>
      <c r="E15" s="174">
        <f>集計表!L55</f>
        <v>100</v>
      </c>
      <c r="F15" s="175">
        <f>集計表!M55</f>
        <v>40</v>
      </c>
      <c r="G15" s="176">
        <f>集計表!N55</f>
        <v>100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110</v>
      </c>
      <c r="E16" s="168">
        <f>集計表!L62</f>
        <v>180</v>
      </c>
      <c r="F16" s="169">
        <f>集計表!M62</f>
        <v>110</v>
      </c>
      <c r="G16" s="170">
        <f>集計表!N62</f>
        <v>180</v>
      </c>
      <c r="H16" s="363">
        <f>集計表!O62</f>
        <v>-275</v>
      </c>
      <c r="I16" s="364">
        <f>集計表!P62</f>
        <v>625</v>
      </c>
      <c r="J16" s="365">
        <f>集計表!Q62</f>
        <v>20</v>
      </c>
      <c r="K16" s="366">
        <f>集計表!R62</f>
        <v>920</v>
      </c>
      <c r="L16" s="363">
        <f>集計表!S62</f>
        <v>-275</v>
      </c>
      <c r="M16" s="364">
        <f>集計表!T62</f>
        <v>1785</v>
      </c>
      <c r="N16" s="365">
        <f>集計表!U62</f>
        <v>-10</v>
      </c>
      <c r="O16" s="366">
        <f>集計表!V62</f>
        <v>2240</v>
      </c>
      <c r="P16" s="165"/>
      <c r="Q16" s="171">
        <v>70</v>
      </c>
      <c r="R16" s="357">
        <v>900</v>
      </c>
      <c r="S16" s="357">
        <v>2250</v>
      </c>
    </row>
    <row r="17" spans="1:19" ht="30" customHeight="1">
      <c r="A17" s="359"/>
      <c r="B17" s="370"/>
      <c r="C17" s="177" t="s">
        <v>182</v>
      </c>
      <c r="D17" s="178">
        <f>集計表!K67</f>
        <v>15</v>
      </c>
      <c r="E17" s="179">
        <f>集計表!L67</f>
        <v>445</v>
      </c>
      <c r="F17" s="180">
        <f>集計表!M67</f>
        <v>180</v>
      </c>
      <c r="G17" s="181">
        <f>集計表!N67</f>
        <v>610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-100</v>
      </c>
      <c r="E18" s="174">
        <f>集計表!L88</f>
        <v>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60</v>
      </c>
      <c r="E19" s="168">
        <f>集計表!L96</f>
        <v>160</v>
      </c>
      <c r="F19" s="169">
        <f>集計表!M96</f>
        <v>90</v>
      </c>
      <c r="G19" s="170">
        <f>集計表!N96</f>
        <v>190</v>
      </c>
      <c r="H19" s="363">
        <f>集計表!O96</f>
        <v>0</v>
      </c>
      <c r="I19" s="364">
        <f>集計表!P96</f>
        <v>1060</v>
      </c>
      <c r="J19" s="365">
        <f>集計表!Q96</f>
        <v>90</v>
      </c>
      <c r="K19" s="366">
        <f>集計表!R96</f>
        <v>1190</v>
      </c>
      <c r="L19" s="347"/>
      <c r="M19" s="348"/>
      <c r="N19" s="367"/>
      <c r="O19" s="368"/>
      <c r="P19" s="165"/>
      <c r="Q19" s="171">
        <v>100</v>
      </c>
      <c r="R19" s="357">
        <v>900</v>
      </c>
      <c r="S19" s="357"/>
    </row>
    <row r="20" spans="1:19" ht="45" customHeight="1">
      <c r="A20" s="359"/>
      <c r="B20" s="370"/>
      <c r="C20" s="182" t="s">
        <v>226</v>
      </c>
      <c r="D20" s="178">
        <f>集計表!K108</f>
        <v>150</v>
      </c>
      <c r="E20" s="179">
        <f>集計表!L108</f>
        <v>300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0</v>
      </c>
      <c r="E21" s="174">
        <f>集計表!L112</f>
        <v>600</v>
      </c>
      <c r="F21" s="175">
        <f>集計表!M112</f>
        <v>100</v>
      </c>
      <c r="G21" s="176">
        <f>集計表!N112</f>
        <v>700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-30</v>
      </c>
      <c r="E22" s="168">
        <f>集計表!L125</f>
        <v>70</v>
      </c>
      <c r="F22" s="169">
        <f>集計表!M125</f>
        <v>0</v>
      </c>
      <c r="G22" s="170">
        <f>集計表!N125</f>
        <v>100</v>
      </c>
      <c r="H22" s="363">
        <f>集計表!O125</f>
        <v>-30</v>
      </c>
      <c r="I22" s="364">
        <f>集計表!P125</f>
        <v>100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0</v>
      </c>
      <c r="E23" s="174">
        <f>集計表!L127</f>
        <v>30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2020-03-24T03:53:31Z</dcterms:modified>
</cp:coreProperties>
</file>