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54631936-CD36-7E42-B201-DFE906F55D47}"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<sst xmlns="http://schemas.openxmlformats.org/spreadsheetml/2006/main" count="625" uniqueCount="300">
  <si>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</si>
  <si>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</si>
  <si>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</si>
  <si>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</si>
  <si>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</si>
  <si>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</si>
  <si>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</si>
  <si>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</si>
  <si>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</si>
  <si>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</si>
  <si>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</si>
  <si>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</si>
  <si>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</si>
  <si>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</si>
  <si>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</si>
  <si>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</si>
  <si>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</si>
  <si>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</si>
  <si>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</si>
  <si>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</si>
  <si>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</si>
  <si>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</si>
  <si>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</si>
  <si>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</si>
  <si>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</si>
  <si>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</si>
  <si>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</si>
  <si>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</si>
  <si>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</si>
  <si>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</si>
  <si>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</si>
  <si>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</si>
  <si>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</si>
  <si>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</si>
  <si>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</si>
  <si>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</si>
  <si>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</si>
  <si>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</si>
  <si>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</si>
  <si>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</si>
  <si>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</si>
  <si>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</si>
  <si>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</si>
  <si>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</si>
  <si>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</si>
  <si>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</si>
  <si>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</si>
  <si>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</si>
  <si>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</si>
  <si>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</si>
  <si>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</si>
  <si>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</si>
  <si>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</si>
  <si>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</si>
  <si>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</si>
  <si>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</si>
  <si>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</si>
  <si>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</si>
  <si>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</si>
  <si>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</si>
  <si>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</si>
  <si>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</si>
  <si>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</si>
  <si>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</si>
  <si>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</si>
  <si>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</si>
  <si>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</si>
  <si>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</si>
  <si>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</si>
  <si>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</si>
  <si>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</si>
  <si>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</si>
  <si>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</si>
  <si>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</si>
  <si>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</si>
  <si>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</si>
  <si>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</si>
  <si>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</si>
  <si>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</si>
  <si>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</si>
  <si>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</si>
  <si>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</si>
  <si>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</si>
  <si>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</si>
  <si>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</si>
  <si>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</si>
  <si>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</si>
  <si>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</si>
  <si>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</si>
  <si>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</si>
  <si>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</si>
  <si>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</si>
  <si>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</si>
  <si>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</si>
  <si>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</si>
  <si>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</si>
  <si>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</si>
  <si>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</si>
  <si>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</si>
  <si>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</si>
  <si>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</si>
  <si>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</si>
  <si>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</si>
  <si>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</si>
  <si>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</si>
  <si>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</si>
  <si>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</si>
  <si>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</si>
  <si>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</si>
  <si>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</si>
  <si>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</si>
  <si>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</si>
  <si>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</si>
  <si>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</si>
  <si>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</si>
  <si>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</si>
  <si>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</si>
  <si>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</si>
  <si>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</si>
  <si>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</si>
  <si>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</si>
  <si>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</si>
  <si>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</si>
  <si>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</si>
  <si>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</si>
  <si>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</si>
  <si>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</si>
  <si>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</si>
  <si>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</si>
  <si>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</si>
  <si>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</si>
  <si>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</si>
  <si>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</si>
  <si>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</si>
  <si>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</si>
  <si>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</si>
  <si>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</si>
  <si>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</si>
  <si>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</si>
  <si>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</si>
  <si>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</si>
  <si>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</si>
  <si>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</si>
  <si>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</si>
  <si>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</si>
  <si>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</si>
  <si>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</si>
  <si>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</si>
  <si>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</si>
  <si>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</si>
  <si>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</si>
  <si>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</si>
  <si>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</si>
  <si>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</si>
  <si>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</si>
  <si>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</si>
  <si>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</si>
  <si>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</si>
  <si>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</si>
  <si>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</si>
  <si>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</si>
  <si>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</si>
  <si>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</si>
  <si>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</si>
  <si>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</si>
  <si>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</si>
  <si>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</si>
  <si>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</si>
  <si>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</si>
  <si>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</si>
  <si>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</si>
  <si>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</si>
  <si>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</si>
  <si>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</si>
  <si>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</si>
  <si>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</si>
  <si>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</si>
  <si>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</si>
  <si>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</si>
  <si>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</si>
  <si>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</si>
  <si>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</si>
  <si>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</si>
  <si>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</si>
  <si>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</si>
  <si>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</si>
  <si>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</si>
  <si>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</si>
  <si>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</si>
  <si>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</si>
  <si>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</si>
  <si>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</si>
  <si>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</si>
  <si>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</si>
  <si>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</si>
  <si>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</si>
  <si>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</si>
  <si>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</si>
  <si>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</si>
  <si>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</si>
  <si>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</si>
  <si>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</si>
  <si>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</si>
  <si>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</si>
  <si>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</si>
  <si>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</si>
  <si>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</si>
  <si>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</si>
  <si>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</si>
  <si>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</si>
  <si>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</si>
  <si>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</si>
  <si>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</si>
  <si>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</si>
  <si>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</si>
  <si>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</si>
  <si>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</si>
  <si>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</si>
  <si>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</si>
  <si>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</si>
  <si>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</si>
  <si>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</si>
  <si>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</si>
  <si>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</si>
  <si>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</si>
  <si>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</si>
  <si>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</si>
  <si>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</si>
  <si>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</si>
  <si>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</si>
  <si>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</si>
  <si>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</si>
  <si>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</si>
  <si>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</si>
  <si>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</si>
  <si>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</si>
  <si>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</si>
  <si>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</si>
  <si>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</si>
  <si>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</si>
  <si>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</si>
  <si>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</si>
  <si>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</si>
  <si>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</si>
  <si>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</si>
  <si>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</si>
  <si>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</si>
  <si>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</si>
  <si>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</si>
  <si>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</si>
  <si>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</si>
  <si>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</si>
  <si>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</si>
  <si>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</si>
  <si>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</si>
  <si>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</si>
  <si>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</si>
  <si>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</si>
  <si>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</si>
  <si>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</si>
  <si>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</si>
  <si>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</si>
  <si>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</si>
  <si>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</si>
  <si>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</si>
  <si>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</si>
  <si>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</si>
  <si>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</si>
  <si>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</si>
  <si>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</si>
  <si>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</si>
  <si>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</si>
  <si>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</si>
  <si>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</si>
  <si>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</si>
  <si>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</si>
  <si>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</si>
  <si>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</si>
  <si>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</si>
  <si>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</si>
  <si>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</si>
  <si>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</si>
  <si>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</si>
  <si>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</si>
  <si>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</si>
  <si>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</si>
  <si>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</si>
  <si>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</si>
  <si>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</si>
  <si>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</si>
  <si>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</si>
  <si>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A</t>
  </si>
  <si>
    <t>B</t>
  </si>
  <si>
    <t>C</t>
  </si>
  <si>
    <t>A+</t>
  </si>
  <si>
    <t>D</t>
    <phoneticPr fontId="2"/>
  </si>
  <si>
    <t>研究群共通科目2</t>
  </si>
  <si>
    <t>研究群共通科目3</t>
  </si>
  <si>
    <t>研究群共通科目1</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</si>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</sst>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6" workbookViewId="0">
      <selection activeCell="R24" sqref="R24"/>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287</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295</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295</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291</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291</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292</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288</v>
      </c>
      <c r="B33" s="209" t="s">
        <v>59</v>
      </c>
      <c r="C33" s="209" t="s">
        <v>36</v>
      </c>
      <c r="D33" s="209">
        <v>2</v>
      </c>
      <c r="E33" s="210"/>
      <c r="F33" s="211"/>
      <c r="G33" s="211"/>
      <c r="H33" s="212"/>
      <c r="I33" s="213"/>
      <c r="J33" s="210"/>
      <c r="K33" s="211">
        <v>200</v>
      </c>
      <c r="L33" s="213"/>
      <c r="M33" s="22" t="s">
        <v>293</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289</v>
      </c>
      <c r="B34" s="214" t="s">
        <v>59</v>
      </c>
      <c r="C34" s="214" t="s">
        <v>36</v>
      </c>
      <c r="D34" s="214">
        <v>2</v>
      </c>
      <c r="E34" s="215"/>
      <c r="F34" s="216"/>
      <c r="G34" s="216"/>
      <c r="H34" s="217"/>
      <c r="I34" s="218"/>
      <c r="J34" s="215"/>
      <c r="K34" s="216">
        <v>200</v>
      </c>
      <c r="L34" s="218"/>
      <c r="M34" s="29" t="s">
        <v>294</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290</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105"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-30</v>
      </c>
      <c r="L3" s="294">
        <f>SUM(E3:E5,I3:I5)</f>
        <v>30</v>
      </c>
      <c r="M3" s="281">
        <f>N3-AD3</f>
        <v>0</v>
      </c>
      <c r="N3" s="295">
        <f>SUM(F3:F5,J3:J5,L3)</f>
        <v>60</v>
      </c>
      <c r="O3" s="292">
        <f>MIN(K3,K6,P3-AE3)</f>
        <v>-50</v>
      </c>
      <c r="P3" s="297">
        <f>L3+L6</f>
        <v>80</v>
      </c>
      <c r="Q3" s="281">
        <f>MIN(M3,M6,R3-AE3)</f>
        <v>0</v>
      </c>
      <c r="R3" s="284">
        <f>N3+N6</f>
        <v>140</v>
      </c>
      <c r="S3" s="292">
        <f>MIN(O3,O13,O28,O39,O52,T3-AF3)</f>
        <v>-295</v>
      </c>
      <c r="T3" s="297">
        <f>SUM(P3:P61)</f>
        <v>455</v>
      </c>
      <c r="U3" s="281">
        <f>MIN(Q3,Q13,Q28,Q39,Q52,V3-AF3)</f>
        <v>0</v>
      </c>
      <c r="V3" s="284">
        <f>SUM(R3:R61)</f>
        <v>750</v>
      </c>
      <c r="X3" s="125" t="s">
        <v>101</v>
      </c>
      <c r="Y3" s="126">
        <f>Z3-Y8</f>
        <v>-6</v>
      </c>
      <c r="Z3" s="127">
        <f>SUM(AJ4:AJ8)</f>
        <v>7</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-4</v>
      </c>
      <c r="Z4" s="134">
        <f>SUM(AK4:AK8)</f>
        <v>13</v>
      </c>
      <c r="AA4" s="135">
        <f>AB4-Y9</f>
        <v>-4</v>
      </c>
      <c r="AB4" s="129">
        <f>SUM(AK4:AK11)</f>
        <v>13</v>
      </c>
      <c r="AD4" s="277"/>
      <c r="AE4" s="277"/>
      <c r="AF4" s="277"/>
      <c r="AI4" s="130" t="s">
        <v>105</v>
      </c>
      <c r="AJ4" s="130">
        <f>SUMIFS(履修状況!$D$5:$D$42,履修状況!$M$5:$M$42,$AI4,履修状況!$C$5:$C$42,AJ$3)</f>
        <v>0</v>
      </c>
      <c r="AK4" s="130">
        <f>SUMIFS(履修状況!$D$5:$D$42,履修状況!$M$5:$M$42,$AI4,履修状況!$C$5:$C$42,AK$3)</f>
        <v>2</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-10</v>
      </c>
      <c r="Z5" s="139">
        <f>SUM(Z3:Z4)</f>
        <v>20</v>
      </c>
      <c r="AA5" s="140">
        <f>AB5-Y10</f>
        <v>-4</v>
      </c>
      <c r="AB5" s="141">
        <f>SUM(AB3:AB4)</f>
        <v>26</v>
      </c>
      <c r="AD5" s="277"/>
      <c r="AE5" s="277"/>
      <c r="AF5" s="277"/>
      <c r="AI5" s="130" t="s">
        <v>109</v>
      </c>
      <c r="AJ5" s="130">
        <f>SUMIFS(履修状況!$D$5:$D$42,履修状況!$M$5:$M$42,$AI5,履修状況!$C$5:$C$42,AJ$3)</f>
        <v>7</v>
      </c>
      <c r="AK5" s="130">
        <f>SUMIFS(履修状況!$D$5:$D$42,履修状況!$M$5:$M$42,$AI5,履修状況!$C$5:$C$42,AK$3)</f>
        <v>6</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-10</v>
      </c>
      <c r="L6" s="294">
        <f>SUM(E6:E12,I6:I12)</f>
        <v>50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3</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2</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c r="K13" s="292">
        <f>L13-AD13</f>
        <v>-10</v>
      </c>
      <c r="L13" s="294">
        <f>SUM(E13:E18,I13:I18)</f>
        <v>50</v>
      </c>
      <c r="M13" s="281">
        <f>N13-AD13</f>
        <v>30</v>
      </c>
      <c r="N13" s="295">
        <f>SUM(F13:F18,J13:J18,L13)</f>
        <v>90</v>
      </c>
      <c r="O13" s="292">
        <f>MIN(K13,K19,P13-AE13)</f>
        <v>-40</v>
      </c>
      <c r="P13" s="297">
        <f>L13+L19</f>
        <v>90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-20</v>
      </c>
      <c r="L19" s="294">
        <f>SUM(E19:E27,I19:I27)</f>
        <v>40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-30</v>
      </c>
      <c r="L28" s="294">
        <f>SUM(E28:E30,I28:I30)</f>
        <v>30</v>
      </c>
      <c r="M28" s="281">
        <f>N28-AD28</f>
        <v>0</v>
      </c>
      <c r="N28" s="295">
        <f>SUM(F28:F30,J28:J30,L28)</f>
        <v>60</v>
      </c>
      <c r="O28" s="292">
        <f>MIN(K28,K31,P28-AE28)</f>
        <v>-45</v>
      </c>
      <c r="P28" s="297">
        <f>L28+L31</f>
        <v>85</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-5</v>
      </c>
      <c r="L31" s="294">
        <f>SUM(E31:E38,I31:I38)</f>
        <v>55</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-30</v>
      </c>
      <c r="L39" s="294">
        <f>SUM(E39:E44,I39:I44)</f>
        <v>30</v>
      </c>
      <c r="M39" s="281">
        <f>N39-AD39</f>
        <v>0</v>
      </c>
      <c r="N39" s="295">
        <f>SUM(F39:F44,J39:J44,L39)</f>
        <v>60</v>
      </c>
      <c r="O39" s="292">
        <f>MIN(K39,K45,P39-AE39)</f>
        <v>-60</v>
      </c>
      <c r="P39" s="297">
        <f>L39+L45</f>
        <v>70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-20</v>
      </c>
      <c r="L45" s="294">
        <f>SUM(E45:E51,I45:I51)</f>
        <v>40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-30</v>
      </c>
      <c r="L52" s="294">
        <f>SUM(E52:E54,I52:I54)</f>
        <v>30</v>
      </c>
      <c r="M52" s="281">
        <f>N52-AD52</f>
        <v>0</v>
      </c>
      <c r="N52" s="295">
        <f>SUM(F52:F54,J52:J54,L52)</f>
        <v>60</v>
      </c>
      <c r="O52" s="292">
        <f>P52-AE52</f>
        <v>0</v>
      </c>
      <c r="P52" s="297">
        <f>L52+L55</f>
        <v>130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100</v>
      </c>
      <c r="F55" s="123">
        <f>VLOOKUP(D55,履修状況!$A$4:$AH$60,31,FALSE)</f>
        <v>0</v>
      </c>
      <c r="G55" s="290" t="s">
        <v>169</v>
      </c>
      <c r="H55" s="291"/>
      <c r="I55" s="124"/>
      <c r="J55" s="124"/>
      <c r="K55" s="292">
        <f>L55-AD55</f>
        <v>40</v>
      </c>
      <c r="L55" s="294">
        <f>SUM(E55:E61,I55:I61)</f>
        <v>100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-100</v>
      </c>
      <c r="P62" s="297">
        <f>L62+L67+L88</f>
        <v>875</v>
      </c>
      <c r="Q62" s="281">
        <f>MIN(M62,M67,M88,R62-AE62)</f>
        <v>30</v>
      </c>
      <c r="R62" s="284">
        <f>N62+N67+N88</f>
        <v>1170</v>
      </c>
      <c r="S62" s="292">
        <f>MIN(O62,O96,O125,T62-AE62)</f>
        <v>-150</v>
      </c>
      <c r="T62" s="297">
        <f>SUM(P62:P128)</f>
        <v>1785</v>
      </c>
      <c r="U62" s="281">
        <f>MIN(Q62,Q96,Q125,V62-AF62)</f>
        <v>-150</v>
      </c>
      <c r="V62" s="284">
        <f>SUM(R62:R128)</f>
        <v>2240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265</v>
      </c>
      <c r="L67" s="294">
        <f>SUM(E67:E87,I67:I87)</f>
        <v>695</v>
      </c>
      <c r="M67" s="281">
        <f>N67-AD67</f>
        <v>430</v>
      </c>
      <c r="N67" s="284">
        <f>SUM(F67:F84,J67:J87,L67)</f>
        <v>860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100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50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200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100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60</v>
      </c>
      <c r="L96" s="294">
        <f>SUM(E96:E107,I96:I107)</f>
        <v>160</v>
      </c>
      <c r="M96" s="281">
        <f>N96-AD96</f>
        <v>90</v>
      </c>
      <c r="N96" s="295">
        <f>SUM(F96:F107,J96:J107,L96)</f>
        <v>190</v>
      </c>
      <c r="O96" s="292">
        <f>MIN(K96,K108,K112,P96-AE96)</f>
        <v>-150</v>
      </c>
      <c r="P96" s="297">
        <f>L96+L108+L112</f>
        <v>810</v>
      </c>
      <c r="Q96" s="281">
        <f>MIN(M96,M108,M112,R96-AE96)</f>
        <v>-150</v>
      </c>
      <c r="R96" s="284">
        <f>N96+N108+N112</f>
        <v>940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298</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296</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297</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100</v>
      </c>
      <c r="F103" s="123">
        <f>-F124</f>
        <v>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0</v>
      </c>
      <c r="F108" s="123">
        <f>VLOOKUP(D108,履修状況!$A$4:$AH$60,33,FALSE)</f>
        <v>0</v>
      </c>
      <c r="G108" s="290" t="s">
        <v>199</v>
      </c>
      <c r="H108" s="291"/>
      <c r="I108" s="124"/>
      <c r="J108" s="124"/>
      <c r="K108" s="292">
        <f>L108-AD108</f>
        <v>-150</v>
      </c>
      <c r="L108" s="294">
        <f>SUM(E108:E111,I108:I111)</f>
        <v>0</v>
      </c>
      <c r="M108" s="281">
        <f>N108-AD108</f>
        <v>-150</v>
      </c>
      <c r="N108" s="295">
        <f>SUM(F108:F111,J108:J111,L108)</f>
        <v>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100</v>
      </c>
      <c r="F112" s="123">
        <f>VLOOKUP(D112,履修状況!$A$4:$AH$60,33,FALSE)</f>
        <v>0</v>
      </c>
      <c r="G112" s="290" t="s">
        <v>202</v>
      </c>
      <c r="H112" s="291"/>
      <c r="I112" s="124"/>
      <c r="J112" s="124"/>
      <c r="K112" s="292">
        <f>L112-AD112</f>
        <v>50</v>
      </c>
      <c r="L112" s="294">
        <f>SUM(E112:E124,I112:I124)</f>
        <v>650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50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（例）人工知能特論</v>
      </c>
      <c r="E119" s="122">
        <f>VLOOKUP(D119,履修状況!$A$4:$AH$60,25,FALSE)</f>
        <v>200</v>
      </c>
      <c r="F119" s="123">
        <f>VLOOKUP(D119,履修状況!$A$4:$AH$60,33,FALSE)</f>
        <v>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（例）スマートインフォメディアシステム特論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（例）機械学習論</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30</v>
      </c>
      <c r="F125" s="123">
        <f>VLOOKUP(D125,履修状況!$A$4:$AH$60,34,FALSE)</f>
        <v>0</v>
      </c>
      <c r="G125" s="290" t="s">
        <v>208</v>
      </c>
      <c r="H125" s="291"/>
      <c r="I125" s="124">
        <v>40</v>
      </c>
      <c r="J125" s="124"/>
      <c r="K125" s="292">
        <f>L125-AD125</f>
        <v>-30</v>
      </c>
      <c r="L125" s="294">
        <f>SUM(E125:E126,I125:I126)</f>
        <v>70</v>
      </c>
      <c r="M125" s="281">
        <f>N125-AD125</f>
        <v>0</v>
      </c>
      <c r="N125" s="295">
        <f>SUM(F125:F126,J125:J126,L125)</f>
        <v>100</v>
      </c>
      <c r="O125" s="292">
        <f>MIN(K125,K127,P125-AE125)</f>
        <v>-30</v>
      </c>
      <c r="P125" s="297">
        <f>L125+L127</f>
        <v>100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30</v>
      </c>
      <c r="F127" s="123">
        <f>VLOOKUP(D127,履修状況!$A$4:$AH$60,34,FALSE)</f>
        <v>0</v>
      </c>
      <c r="G127" s="290" t="s">
        <v>210</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299</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4wuB1vEND+dscHmVULmpaF4uHsLu2ht5U09XAIsTxuU5dlQG0uK5s4aV5mnoL5YiHajjCIxnGp6j5o4VHRo+JA==" saltValue="XmyOStIShbk5g8Vidu27/Q=="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卑弥呼</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-30</v>
      </c>
      <c r="E6" s="168">
        <f>集計表!L3</f>
        <v>30</v>
      </c>
      <c r="F6" s="169">
        <f>集計表!M3</f>
        <v>0</v>
      </c>
      <c r="G6" s="170">
        <f>集計表!N3</f>
        <v>60</v>
      </c>
      <c r="H6" s="347">
        <f>集計表!O3</f>
        <v>-50</v>
      </c>
      <c r="I6" s="349">
        <f>集計表!P3</f>
        <v>80</v>
      </c>
      <c r="J6" s="351">
        <f>集計表!Q3</f>
        <v>0</v>
      </c>
      <c r="K6" s="353">
        <f>集計表!R3</f>
        <v>140</v>
      </c>
      <c r="L6" s="347">
        <f>集計表!S3</f>
        <v>-295</v>
      </c>
      <c r="M6" s="349">
        <f>集計表!T3</f>
        <v>455</v>
      </c>
      <c r="N6" s="351">
        <f>集計表!U3</f>
        <v>0</v>
      </c>
      <c r="O6" s="353">
        <f>集計表!V3</f>
        <v>750</v>
      </c>
      <c r="P6" s="165"/>
      <c r="Q6" s="171">
        <v>60</v>
      </c>
      <c r="R6" s="358">
        <v>130</v>
      </c>
      <c r="S6" s="358">
        <v>750</v>
      </c>
    </row>
    <row r="7" spans="1:27" ht="33.75" customHeight="1" thickBot="1">
      <c r="A7" s="363"/>
      <c r="B7" s="346"/>
      <c r="C7" s="172" t="s">
        <v>110</v>
      </c>
      <c r="D7" s="173">
        <f>集計表!K6</f>
        <v>-10</v>
      </c>
      <c r="E7" s="174">
        <f>集計表!L6</f>
        <v>50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-10</v>
      </c>
      <c r="E8" s="168">
        <f>集計表!L13</f>
        <v>50</v>
      </c>
      <c r="F8" s="169">
        <f>集計表!M13</f>
        <v>30</v>
      </c>
      <c r="G8" s="170">
        <f>集計表!N13</f>
        <v>90</v>
      </c>
      <c r="H8" s="347">
        <f>集計表!O13</f>
        <v>-40</v>
      </c>
      <c r="I8" s="349">
        <f>集計表!P13</f>
        <v>90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-20</v>
      </c>
      <c r="E9" s="174">
        <f>集計表!L19</f>
        <v>40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-30</v>
      </c>
      <c r="E10" s="168">
        <f>集計表!L28</f>
        <v>30</v>
      </c>
      <c r="F10" s="169">
        <f>集計表!M28</f>
        <v>0</v>
      </c>
      <c r="G10" s="170">
        <f>集計表!N28</f>
        <v>60</v>
      </c>
      <c r="H10" s="347">
        <f>集計表!O28</f>
        <v>-45</v>
      </c>
      <c r="I10" s="349">
        <f>集計表!P28</f>
        <v>85</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-5</v>
      </c>
      <c r="E11" s="174">
        <f>集計表!L31</f>
        <v>55</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-30</v>
      </c>
      <c r="E12" s="168">
        <f>集計表!L39</f>
        <v>30</v>
      </c>
      <c r="F12" s="169">
        <f>集計表!M39</f>
        <v>0</v>
      </c>
      <c r="G12" s="170">
        <f>集計表!N39</f>
        <v>60</v>
      </c>
      <c r="H12" s="347">
        <f>集計表!O39</f>
        <v>-60</v>
      </c>
      <c r="I12" s="349">
        <f>集計表!P39</f>
        <v>70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-20</v>
      </c>
      <c r="E13" s="174">
        <f>集計表!L45</f>
        <v>40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-30</v>
      </c>
      <c r="E14" s="168">
        <f>集計表!L52</f>
        <v>30</v>
      </c>
      <c r="F14" s="169">
        <f>集計表!M52</f>
        <v>0</v>
      </c>
      <c r="G14" s="170">
        <f>集計表!N52</f>
        <v>60</v>
      </c>
      <c r="H14" s="347">
        <f>集計表!O52</f>
        <v>0</v>
      </c>
      <c r="I14" s="349">
        <f>集計表!P52</f>
        <v>130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40</v>
      </c>
      <c r="E15" s="174">
        <f>集計表!L55</f>
        <v>100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110</v>
      </c>
      <c r="E16" s="168">
        <f>集計表!L62</f>
        <v>180</v>
      </c>
      <c r="F16" s="169">
        <f>集計表!M62</f>
        <v>110</v>
      </c>
      <c r="G16" s="170">
        <f>集計表!N62</f>
        <v>180</v>
      </c>
      <c r="H16" s="347">
        <f>集計表!O62</f>
        <v>-100</v>
      </c>
      <c r="I16" s="349">
        <f>集計表!P62</f>
        <v>875</v>
      </c>
      <c r="J16" s="351">
        <f>集計表!Q62</f>
        <v>30</v>
      </c>
      <c r="K16" s="353">
        <f>集計表!R62</f>
        <v>1170</v>
      </c>
      <c r="L16" s="347">
        <f>集計表!S62</f>
        <v>-150</v>
      </c>
      <c r="M16" s="349">
        <f>集計表!T62</f>
        <v>1785</v>
      </c>
      <c r="N16" s="351">
        <f>集計表!U62</f>
        <v>-150</v>
      </c>
      <c r="O16" s="353">
        <f>集計表!V62</f>
        <v>2240</v>
      </c>
      <c r="P16" s="165"/>
      <c r="Q16" s="171">
        <v>70</v>
      </c>
      <c r="R16" s="358">
        <v>900</v>
      </c>
      <c r="S16" s="358">
        <v>2250</v>
      </c>
    </row>
    <row r="17" spans="1:19" ht="30" customHeight="1">
      <c r="A17" s="363"/>
      <c r="B17" s="366"/>
      <c r="C17" s="177" t="s">
        <v>182</v>
      </c>
      <c r="D17" s="178">
        <f>集計表!K67</f>
        <v>265</v>
      </c>
      <c r="E17" s="179">
        <f>集計表!L67</f>
        <v>695</v>
      </c>
      <c r="F17" s="180">
        <f>集計表!M67</f>
        <v>430</v>
      </c>
      <c r="G17" s="181">
        <f>集計表!N67</f>
        <v>860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60</v>
      </c>
      <c r="E19" s="168">
        <f>集計表!L96</f>
        <v>160</v>
      </c>
      <c r="F19" s="169">
        <f>集計表!M96</f>
        <v>90</v>
      </c>
      <c r="G19" s="170">
        <f>集計表!N96</f>
        <v>190</v>
      </c>
      <c r="H19" s="347">
        <f>集計表!O96</f>
        <v>-150</v>
      </c>
      <c r="I19" s="349">
        <f>集計表!P96</f>
        <v>810</v>
      </c>
      <c r="J19" s="351">
        <f>集計表!Q96</f>
        <v>-150</v>
      </c>
      <c r="K19" s="353">
        <f>集計表!R96</f>
        <v>940</v>
      </c>
      <c r="L19" s="359"/>
      <c r="M19" s="360"/>
      <c r="N19" s="361"/>
      <c r="O19" s="357"/>
      <c r="P19" s="165"/>
      <c r="Q19" s="171">
        <v>100</v>
      </c>
      <c r="R19" s="358">
        <v>900</v>
      </c>
      <c r="S19" s="358"/>
    </row>
    <row r="20" spans="1:19" ht="45" customHeight="1">
      <c r="A20" s="363"/>
      <c r="B20" s="366"/>
      <c r="C20" s="182" t="s">
        <v>226</v>
      </c>
      <c r="D20" s="178">
        <f>集計表!K108</f>
        <v>-150</v>
      </c>
      <c r="E20" s="179">
        <f>集計表!L108</f>
        <v>0</v>
      </c>
      <c r="F20" s="180">
        <f>集計表!M108</f>
        <v>-150</v>
      </c>
      <c r="G20" s="181">
        <f>集計表!N108</f>
        <v>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50</v>
      </c>
      <c r="E21" s="174">
        <f>集計表!L112</f>
        <v>650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-30</v>
      </c>
      <c r="E22" s="168">
        <f>集計表!L125</f>
        <v>70</v>
      </c>
      <c r="F22" s="169">
        <f>集計表!M125</f>
        <v>0</v>
      </c>
      <c r="G22" s="170">
        <f>集計表!N125</f>
        <v>100</v>
      </c>
      <c r="H22" s="347">
        <f>集計表!O125</f>
        <v>-30</v>
      </c>
      <c r="I22" s="349">
        <f>集計表!P125</f>
        <v>100</v>
      </c>
      <c r="J22" s="351">
        <f>集計表!Q125</f>
        <v>0</v>
      </c>
      <c r="K22" s="353">
        <f>集計表!R125</f>
        <v>130</v>
      </c>
      <c r="L22" s="359"/>
      <c r="M22" s="360"/>
      <c r="N22" s="361"/>
      <c r="O22" s="357"/>
      <c r="P22" s="165"/>
      <c r="Q22" s="171">
        <v>100</v>
      </c>
      <c r="R22" s="358">
        <v>130</v>
      </c>
      <c r="S22" s="358"/>
    </row>
    <row r="23" spans="1:19" ht="45" customHeight="1" thickBot="1">
      <c r="A23" s="364"/>
      <c r="B23" s="367"/>
      <c r="C23" s="172" t="s">
        <v>209</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2020-03-24T03:56:55Z</dcterms:modified>
</cp:coreProperties>
</file>