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9EDA77D7-004F-DC40-9593-4A007F179CB2}" xr6:coauthVersionLast="45" xr6:coauthVersionMax="45" xr10:uidLastSave="{00000000-0000-0000-0000-000000000000}"/>
  <bookViews>
    <workbookView xWindow="3380" yWindow="232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<sst xmlns="http://schemas.openxmlformats.org/spreadsheetml/2006/main" count="624" uniqueCount="299">
  <si>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</si>
  <si>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</si>
  <si>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</si>
  <si>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</si>
  <si>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</si>
  <si>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</si>
  <si>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</si>
  <si>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</si>
  <si>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</si>
  <si>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</si>
  <si>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</si>
  <si>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</si>
  <si>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</si>
  <si>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</si>
  <si>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</si>
  <si>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</si>
  <si>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</si>
  <si>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</si>
  <si>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</si>
  <si>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</si>
  <si>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</si>
  <si>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</si>
  <si>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</si>
  <si>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</si>
  <si>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</si>
  <si>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</si>
  <si>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</si>
  <si>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</si>
  <si>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</si>
  <si>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</si>
  <si>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</si>
  <si>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</si>
  <si>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</si>
  <si>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</si>
  <si>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</si>
  <si>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</si>
  <si>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</si>
  <si>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</si>
  <si>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</si>
  <si>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</si>
  <si>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</si>
  <si>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</si>
  <si>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</si>
  <si>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</si>
  <si>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</si>
  <si>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</si>
  <si>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</si>
  <si>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</si>
  <si>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</si>
  <si>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</si>
  <si>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</si>
  <si>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</si>
  <si>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</si>
  <si>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</si>
  <si>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</si>
  <si>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</si>
  <si>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</si>
  <si>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</si>
  <si>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</si>
  <si>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</si>
  <si>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</si>
  <si>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</si>
  <si>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</si>
  <si>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</si>
  <si>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</si>
  <si>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</si>
  <si>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</si>
  <si>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</si>
  <si>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</si>
  <si>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</si>
  <si>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</si>
  <si>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</si>
  <si>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</si>
  <si>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</si>
  <si>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</si>
  <si>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</si>
  <si>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</si>
  <si>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</si>
  <si>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</si>
  <si>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</si>
  <si>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</si>
  <si>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</si>
  <si>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</si>
  <si>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</si>
  <si>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</si>
  <si>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</si>
  <si>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</si>
  <si>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</si>
  <si>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</si>
  <si>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</si>
  <si>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</si>
  <si>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</si>
  <si>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</si>
  <si>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</si>
  <si>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</si>
  <si>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</si>
  <si>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</si>
  <si>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</si>
  <si>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</si>
  <si>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</si>
  <si>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</si>
  <si>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</si>
  <si>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</si>
  <si>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</si>
  <si>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</si>
  <si>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</si>
  <si>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</si>
  <si>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</si>
  <si>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</si>
  <si>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</si>
  <si>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</si>
  <si>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</si>
  <si>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</si>
  <si>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</si>
  <si>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</si>
  <si>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</si>
  <si>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</si>
  <si>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</si>
  <si>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</si>
  <si>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</si>
  <si>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</si>
  <si>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</si>
  <si>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</si>
  <si>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</si>
  <si>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</si>
  <si>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</si>
  <si>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</si>
  <si>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</si>
  <si>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</si>
  <si>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</si>
  <si>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</si>
  <si>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</si>
  <si>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</si>
  <si>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</si>
  <si>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</si>
  <si>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</si>
  <si>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</si>
  <si>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</si>
  <si>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</si>
  <si>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</si>
  <si>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</si>
  <si>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</si>
  <si>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</si>
  <si>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</si>
  <si>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</si>
  <si>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</si>
  <si>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</si>
  <si>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</si>
  <si>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</si>
  <si>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</si>
  <si>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</si>
  <si>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</si>
  <si>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</si>
  <si>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</si>
  <si>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</si>
  <si>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</si>
  <si>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</si>
  <si>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</si>
  <si>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</si>
  <si>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</si>
  <si>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</si>
  <si>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</si>
  <si>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</si>
  <si>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</si>
  <si>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</si>
  <si>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</si>
  <si>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</si>
  <si>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</si>
  <si>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</si>
  <si>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</si>
  <si>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</si>
  <si>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</si>
  <si>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</si>
  <si>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</si>
  <si>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</si>
  <si>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</si>
  <si>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</si>
  <si>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</si>
  <si>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</si>
  <si>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</si>
  <si>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</si>
  <si>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</si>
  <si>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</si>
  <si>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</si>
  <si>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</si>
  <si>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</si>
  <si>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</si>
  <si>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</si>
  <si>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</si>
  <si>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</si>
  <si>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</si>
  <si>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</si>
  <si>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</si>
  <si>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</si>
  <si>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</si>
  <si>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</si>
  <si>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</si>
  <si>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</si>
  <si>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</si>
  <si>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</si>
  <si>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</si>
  <si>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</si>
  <si>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</si>
  <si>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</si>
  <si>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</si>
  <si>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</si>
  <si>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</si>
  <si>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</si>
  <si>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</si>
  <si>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</si>
  <si>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</si>
  <si>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</si>
  <si>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</si>
  <si>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</si>
  <si>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</si>
  <si>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</si>
  <si>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</si>
  <si>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</si>
  <si>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</si>
  <si>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</si>
  <si>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</si>
  <si>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</si>
  <si>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</si>
  <si>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</si>
  <si>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</si>
  <si>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</si>
  <si>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</si>
  <si>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</si>
  <si>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</si>
  <si>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</si>
  <si>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</si>
  <si>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</si>
  <si>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</si>
  <si>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</si>
  <si>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</si>
  <si>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</si>
  <si>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</si>
  <si>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</si>
  <si>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</si>
  <si>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</si>
  <si>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</si>
  <si>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</si>
  <si>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</si>
  <si>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</si>
  <si>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</si>
  <si>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</si>
  <si>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</si>
  <si>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</si>
  <si>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</si>
  <si>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</si>
  <si>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</si>
  <si>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</si>
  <si>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</si>
  <si>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</si>
  <si>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</si>
  <si>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</si>
  <si>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</si>
  <si>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</si>
  <si>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</si>
  <si>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</si>
  <si>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</si>
  <si>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</si>
  <si>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</si>
  <si>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</si>
  <si>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</si>
  <si>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</si>
  <si>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</si>
  <si>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</si>
  <si>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</si>
  <si>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</si>
  <si>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</si>
  <si>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</si>
  <si>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</si>
  <si>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</si>
  <si>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</si>
  <si>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</si>
  <si>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</si>
  <si>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</si>
  <si>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</si>
  <si>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</si>
  <si>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</si>
  <si>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</si>
  <si>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</si>
  <si>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</si>
  <si>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</si>
  <si>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</si>
  <si>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</si>
  <si>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（例）ロボット制御論</t>
    <rPh sb="1" eb="2">
      <t>レイ</t>
    </rPh>
    <rPh sb="7" eb="9">
      <t>セイギョ</t>
    </rPh>
    <rPh sb="9" eb="10">
      <t>ロン</t>
    </rPh>
    <phoneticPr fontId="3"/>
  </si>
  <si>
    <t xml:space="preserve">	（例）運動制御論</t>
    <rPh sb="2" eb="3">
      <t>レイ</t>
    </rPh>
    <rPh sb="4" eb="6">
      <t>ウンドウ</t>
    </rPh>
    <rPh sb="6" eb="8">
      <t>セイギョ</t>
    </rPh>
    <rPh sb="8" eb="9">
      <t>ロン</t>
    </rPh>
    <phoneticPr fontId="3"/>
  </si>
  <si>
    <t>（例）システムモデリング</t>
    <rPh sb="1" eb="2">
      <t>レイ</t>
    </rPh>
    <phoneticPr fontId="3"/>
  </si>
  <si>
    <t>小野妹子</t>
    <rPh sb="0" eb="4">
      <t>オノノイモコ</t>
    </rPh>
    <phoneticPr fontId="2"/>
  </si>
  <si>
    <t>A</t>
  </si>
  <si>
    <t>B</t>
  </si>
  <si>
    <t>C</t>
  </si>
  <si>
    <t>D</t>
    <phoneticPr fontId="2"/>
  </si>
  <si>
    <t>研究群共通科目2</t>
  </si>
  <si>
    <t>研究群共通科目3</t>
  </si>
  <si>
    <t>研究群共通科目1</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</si>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</sst>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7" workbookViewId="0">
      <selection activeCell="AI17" sqref="AI17"/>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40" t="s">
        <v>0</v>
      </c>
      <c r="B1" s="240"/>
      <c r="C1" s="240"/>
      <c r="D1" s="240"/>
      <c r="E1" s="240"/>
      <c r="F1" s="240"/>
      <c r="G1" s="240"/>
      <c r="H1" s="240"/>
      <c r="I1" s="240"/>
      <c r="J1" s="240"/>
      <c r="K1" s="240"/>
      <c r="L1" s="240"/>
      <c r="M1" s="240"/>
      <c r="N1" s="240"/>
      <c r="O1" s="240"/>
      <c r="P1" s="240"/>
      <c r="Q1" s="240"/>
      <c r="R1" s="240"/>
      <c r="S1" s="225" t="s">
        <v>1</v>
      </c>
      <c r="T1" s="226"/>
      <c r="U1" s="226"/>
      <c r="V1" s="226"/>
      <c r="W1" s="226"/>
      <c r="X1" s="226"/>
      <c r="Y1" s="226"/>
      <c r="Z1" s="226"/>
      <c r="AA1" s="225" t="s">
        <v>2</v>
      </c>
      <c r="AB1" s="226"/>
      <c r="AC1" s="226"/>
      <c r="AD1" s="226"/>
      <c r="AE1" s="226"/>
      <c r="AF1" s="226"/>
      <c r="AG1" s="226"/>
      <c r="AH1" s="226"/>
    </row>
    <row r="2" spans="1:35" s="114" customFormat="1" ht="21" customHeight="1" thickBot="1">
      <c r="A2" s="262"/>
      <c r="B2" s="263"/>
      <c r="C2" s="263"/>
      <c r="D2" s="264" t="s">
        <v>274</v>
      </c>
      <c r="E2" s="264"/>
      <c r="F2" s="264"/>
      <c r="G2" s="265">
        <v>202012345</v>
      </c>
      <c r="H2" s="265"/>
      <c r="I2" s="265"/>
      <c r="J2" s="264" t="s">
        <v>275</v>
      </c>
      <c r="K2" s="264"/>
      <c r="L2" s="266" t="s">
        <v>290</v>
      </c>
      <c r="M2" s="266"/>
      <c r="N2" s="266"/>
      <c r="O2" s="266"/>
      <c r="P2" s="266"/>
      <c r="Q2" s="266"/>
      <c r="R2" s="266"/>
      <c r="S2" s="197"/>
      <c r="T2" s="164"/>
      <c r="U2" s="164"/>
      <c r="V2" s="164"/>
      <c r="W2" s="164"/>
      <c r="X2" s="164"/>
      <c r="Y2" s="164"/>
      <c r="Z2" s="164"/>
      <c r="AA2" s="164"/>
      <c r="AI2" s="208" t="s">
        <v>279</v>
      </c>
    </row>
    <row r="3" spans="1:35" ht="30" customHeight="1" thickBot="1">
      <c r="A3" s="227"/>
      <c r="B3" s="228"/>
      <c r="C3" s="228"/>
      <c r="D3" s="228"/>
      <c r="E3" s="229" t="s">
        <v>3</v>
      </c>
      <c r="F3" s="228"/>
      <c r="G3" s="228"/>
      <c r="H3" s="228"/>
      <c r="I3" s="230"/>
      <c r="J3" s="231" t="s">
        <v>4</v>
      </c>
      <c r="K3" s="232"/>
      <c r="L3" s="233"/>
      <c r="M3" s="5"/>
      <c r="N3" s="6"/>
      <c r="O3" s="234" t="s">
        <v>5</v>
      </c>
      <c r="P3" s="235"/>
      <c r="Q3" s="235"/>
      <c r="R3" s="236"/>
      <c r="S3" s="237" t="s">
        <v>3</v>
      </c>
      <c r="T3" s="238"/>
      <c r="U3" s="238"/>
      <c r="V3" s="238"/>
      <c r="W3" s="238"/>
      <c r="X3" s="237" t="s">
        <v>4</v>
      </c>
      <c r="Y3" s="237"/>
      <c r="Z3" s="237"/>
      <c r="AA3" s="237" t="s">
        <v>3</v>
      </c>
      <c r="AB3" s="238"/>
      <c r="AC3" s="238"/>
      <c r="AD3" s="238"/>
      <c r="AE3" s="238"/>
      <c r="AF3" s="237" t="s">
        <v>4</v>
      </c>
      <c r="AG3" s="237"/>
      <c r="AH3" s="237"/>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294</v>
      </c>
      <c r="N17" s="23">
        <f t="shared" si="2"/>
        <v>100</v>
      </c>
      <c r="O17" s="30" t="s">
        <v>46</v>
      </c>
      <c r="P17" s="31" t="s">
        <v>47</v>
      </c>
      <c r="Q17" s="17" t="s">
        <v>37</v>
      </c>
      <c r="R17" s="32" t="s">
        <v>37</v>
      </c>
      <c r="S17" s="28">
        <f t="shared" si="3"/>
        <v>0</v>
      </c>
      <c r="T17" s="28">
        <f t="shared" si="0"/>
        <v>0</v>
      </c>
      <c r="U17" s="28">
        <f t="shared" si="0"/>
        <v>0</v>
      </c>
      <c r="V17" s="28">
        <f t="shared" si="0"/>
        <v>0</v>
      </c>
      <c r="W17" s="28">
        <f t="shared" si="0"/>
        <v>0</v>
      </c>
      <c r="X17" s="28">
        <f t="shared" si="0"/>
        <v>0</v>
      </c>
      <c r="Y17" s="28">
        <f t="shared" si="0"/>
        <v>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292</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292</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50</v>
      </c>
      <c r="Y23" s="28">
        <f t="shared" si="3"/>
        <v>150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292</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250</v>
      </c>
      <c r="Y27" s="28">
        <f t="shared" si="3"/>
        <v>50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293</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287</v>
      </c>
      <c r="B33" s="209" t="s">
        <v>59</v>
      </c>
      <c r="C33" s="209" t="s">
        <v>36</v>
      </c>
      <c r="D33" s="209">
        <v>2</v>
      </c>
      <c r="E33" s="210"/>
      <c r="F33" s="211"/>
      <c r="G33" s="211"/>
      <c r="H33" s="212"/>
      <c r="I33" s="213"/>
      <c r="J33" s="210"/>
      <c r="K33" s="211">
        <v>200</v>
      </c>
      <c r="L33" s="213"/>
      <c r="M33" s="22" t="s">
        <v>291</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288</v>
      </c>
      <c r="B34" s="214" t="s">
        <v>59</v>
      </c>
      <c r="C34" s="214" t="s">
        <v>36</v>
      </c>
      <c r="D34" s="214">
        <v>2</v>
      </c>
      <c r="E34" s="215"/>
      <c r="F34" s="216"/>
      <c r="G34" s="216"/>
      <c r="H34" s="217"/>
      <c r="I34" s="218"/>
      <c r="J34" s="215"/>
      <c r="K34" s="216">
        <v>200</v>
      </c>
      <c r="L34" s="218"/>
      <c r="M34" s="29" t="s">
        <v>291</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289</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39" t="s">
        <v>70</v>
      </c>
      <c r="C43" s="239"/>
      <c r="D43" s="239"/>
      <c r="E43" s="239"/>
      <c r="F43" s="239"/>
      <c r="G43" s="239"/>
      <c r="H43" s="239"/>
      <c r="I43" s="239"/>
      <c r="J43" s="239"/>
      <c r="K43" s="239"/>
      <c r="L43" s="239"/>
      <c r="M43" s="224" t="s">
        <v>280</v>
      </c>
      <c r="N43" s="224"/>
      <c r="O43" s="224"/>
      <c r="P43" s="224"/>
      <c r="Q43" s="224"/>
      <c r="R43" s="224"/>
    </row>
    <row r="44" spans="1:34" ht="18" hidden="1" customHeight="1">
      <c r="A44" s="244" t="s">
        <v>71</v>
      </c>
      <c r="B44" s="254" t="s">
        <v>20</v>
      </c>
      <c r="C44" s="238"/>
      <c r="D44" s="255"/>
      <c r="E44" s="105">
        <v>140</v>
      </c>
      <c r="F44" s="107">
        <v>120</v>
      </c>
      <c r="G44" s="106">
        <v>160</v>
      </c>
      <c r="H44" s="107">
        <v>130</v>
      </c>
      <c r="I44" s="108">
        <v>160</v>
      </c>
      <c r="J44" s="105">
        <v>960</v>
      </c>
      <c r="K44" s="106">
        <v>1240</v>
      </c>
      <c r="L44" s="108">
        <v>90</v>
      </c>
      <c r="M44" s="100"/>
      <c r="N44" s="256">
        <f>E45+J45</f>
        <v>3000</v>
      </c>
      <c r="O44" s="257"/>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44"/>
      <c r="B45" s="248"/>
      <c r="C45" s="249"/>
      <c r="D45" s="250"/>
      <c r="E45" s="241">
        <f>SUM(E44:I44)</f>
        <v>710</v>
      </c>
      <c r="F45" s="242"/>
      <c r="G45" s="242"/>
      <c r="H45" s="242"/>
      <c r="I45" s="243"/>
      <c r="J45" s="241">
        <f>SUM(J44:L44)</f>
        <v>2290</v>
      </c>
      <c r="K45" s="242"/>
      <c r="L45" s="243"/>
      <c r="M45" s="102"/>
      <c r="N45" s="258"/>
      <c r="O45" s="259"/>
      <c r="P45" s="101"/>
      <c r="S45" s="241">
        <f>SUM(S44:W44)</f>
        <v>710</v>
      </c>
      <c r="T45" s="242"/>
      <c r="U45" s="242"/>
      <c r="V45" s="242"/>
      <c r="W45" s="243"/>
      <c r="X45" s="241">
        <f>SUM(X44:Z44)</f>
        <v>2290</v>
      </c>
      <c r="Y45" s="242"/>
      <c r="Z45" s="243"/>
      <c r="AA45" s="241">
        <f>SUM(AA44:AE44)</f>
        <v>710</v>
      </c>
      <c r="AB45" s="242"/>
      <c r="AC45" s="242"/>
      <c r="AD45" s="242"/>
      <c r="AE45" s="243"/>
      <c r="AF45" s="241">
        <f>SUM(AF44:AH44)</f>
        <v>2290</v>
      </c>
      <c r="AG45" s="242"/>
      <c r="AH45" s="243"/>
    </row>
    <row r="46" spans="1:34" ht="18" hidden="1" customHeight="1">
      <c r="A46" s="244" t="s">
        <v>72</v>
      </c>
      <c r="B46" s="245" t="s">
        <v>21</v>
      </c>
      <c r="C46" s="246"/>
      <c r="D46" s="247"/>
      <c r="E46" s="96">
        <v>140</v>
      </c>
      <c r="F46" s="97">
        <v>120</v>
      </c>
      <c r="G46" s="98">
        <v>160</v>
      </c>
      <c r="H46" s="97">
        <v>130</v>
      </c>
      <c r="I46" s="99">
        <v>160</v>
      </c>
      <c r="J46" s="96">
        <v>960</v>
      </c>
      <c r="K46" s="98">
        <v>1240</v>
      </c>
      <c r="L46" s="99">
        <v>90</v>
      </c>
      <c r="M46" s="103"/>
      <c r="N46" s="245">
        <f>E47+J47</f>
        <v>3000</v>
      </c>
      <c r="O46" s="247"/>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44"/>
      <c r="B47" s="248"/>
      <c r="C47" s="249"/>
      <c r="D47" s="250"/>
      <c r="E47" s="251">
        <f>SUM(E46:I46)</f>
        <v>710</v>
      </c>
      <c r="F47" s="252"/>
      <c r="G47" s="252"/>
      <c r="H47" s="252"/>
      <c r="I47" s="253"/>
      <c r="J47" s="251">
        <f>SUM(J46:L46)</f>
        <v>2290</v>
      </c>
      <c r="K47" s="252"/>
      <c r="L47" s="253"/>
      <c r="M47" s="104"/>
      <c r="N47" s="248"/>
      <c r="O47" s="250"/>
      <c r="P47" s="101"/>
      <c r="S47" s="251">
        <f>SUM(S46:W46)</f>
        <v>710</v>
      </c>
      <c r="T47" s="252"/>
      <c r="U47" s="252"/>
      <c r="V47" s="252"/>
      <c r="W47" s="253"/>
      <c r="X47" s="251">
        <f>SUM(X46:Z46)</f>
        <v>2290</v>
      </c>
      <c r="Y47" s="252"/>
      <c r="Z47" s="253"/>
      <c r="AA47" s="251">
        <f>SUM(AA46:AE46)</f>
        <v>710</v>
      </c>
      <c r="AB47" s="252"/>
      <c r="AC47" s="252"/>
      <c r="AD47" s="252"/>
      <c r="AE47" s="253"/>
      <c r="AF47" s="251">
        <f>SUM(AF46:AH46)</f>
        <v>2290</v>
      </c>
      <c r="AG47" s="252"/>
      <c r="AH47" s="253"/>
    </row>
    <row r="48" spans="1:34" s="111" customFormat="1" ht="18" hidden="1" customHeight="1">
      <c r="A48" s="244" t="s">
        <v>73</v>
      </c>
      <c r="B48" s="245" t="s">
        <v>22</v>
      </c>
      <c r="C48" s="246"/>
      <c r="D48" s="247"/>
      <c r="E48" s="105">
        <v>160</v>
      </c>
      <c r="F48" s="106">
        <v>150</v>
      </c>
      <c r="G48" s="106">
        <v>180</v>
      </c>
      <c r="H48" s="107">
        <v>140</v>
      </c>
      <c r="I48" s="108">
        <v>160</v>
      </c>
      <c r="J48" s="109">
        <v>1160</v>
      </c>
      <c r="K48" s="106">
        <v>960</v>
      </c>
      <c r="L48" s="108">
        <v>90</v>
      </c>
      <c r="M48" s="110"/>
      <c r="N48" s="260">
        <f>E49+J49</f>
        <v>3000</v>
      </c>
      <c r="O48" s="26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44"/>
      <c r="B49" s="248"/>
      <c r="C49" s="249"/>
      <c r="D49" s="250"/>
      <c r="E49" s="241">
        <f>SUM(E48:I48)</f>
        <v>790</v>
      </c>
      <c r="F49" s="242"/>
      <c r="G49" s="242"/>
      <c r="H49" s="242"/>
      <c r="I49" s="243"/>
      <c r="J49" s="241">
        <f>SUM(J48:L48)</f>
        <v>2210</v>
      </c>
      <c r="K49" s="242"/>
      <c r="L49" s="243"/>
      <c r="M49" s="102"/>
      <c r="N49" s="258"/>
      <c r="O49" s="259"/>
      <c r="P49" s="101"/>
      <c r="S49" s="241">
        <f>SUM(S48:W48)</f>
        <v>790</v>
      </c>
      <c r="T49" s="242"/>
      <c r="U49" s="242"/>
      <c r="V49" s="242"/>
      <c r="W49" s="243"/>
      <c r="X49" s="241">
        <f>SUM(X48:Z48)</f>
        <v>2210</v>
      </c>
      <c r="Y49" s="242"/>
      <c r="Z49" s="243"/>
      <c r="AA49" s="241">
        <f>SUM(AA48:AE48)</f>
        <v>790</v>
      </c>
      <c r="AB49" s="242"/>
      <c r="AC49" s="242"/>
      <c r="AD49" s="242"/>
      <c r="AE49" s="243"/>
      <c r="AF49" s="241">
        <f>SUM(AF48:AH48)</f>
        <v>2210</v>
      </c>
      <c r="AG49" s="242"/>
      <c r="AH49" s="243"/>
    </row>
    <row r="50" spans="1:34" s="111" customFormat="1" ht="18" hidden="1" customHeight="1">
      <c r="A50" s="244" t="s">
        <v>74</v>
      </c>
      <c r="B50" s="245" t="s">
        <v>23</v>
      </c>
      <c r="C50" s="246"/>
      <c r="D50" s="247"/>
      <c r="E50" s="105">
        <v>160</v>
      </c>
      <c r="F50" s="106">
        <v>150</v>
      </c>
      <c r="G50" s="107">
        <v>180</v>
      </c>
      <c r="H50" s="107">
        <v>140</v>
      </c>
      <c r="I50" s="108">
        <v>160</v>
      </c>
      <c r="J50" s="109">
        <v>1160</v>
      </c>
      <c r="K50" s="106">
        <v>960</v>
      </c>
      <c r="L50" s="108">
        <v>90</v>
      </c>
      <c r="M50" s="110"/>
      <c r="N50" s="260">
        <f>E51+J51</f>
        <v>3000</v>
      </c>
      <c r="O50" s="26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44"/>
      <c r="B51" s="254"/>
      <c r="C51" s="238"/>
      <c r="D51" s="255"/>
      <c r="E51" s="267">
        <f>SUM(E50:I50)</f>
        <v>790</v>
      </c>
      <c r="F51" s="268"/>
      <c r="G51" s="268"/>
      <c r="H51" s="268"/>
      <c r="I51" s="269"/>
      <c r="J51" s="267">
        <f>SUM(J50:L50)</f>
        <v>2210</v>
      </c>
      <c r="K51" s="268"/>
      <c r="L51" s="269"/>
      <c r="M51" s="102"/>
      <c r="N51" s="258"/>
      <c r="O51" s="259"/>
      <c r="P51" s="101"/>
      <c r="S51" s="241">
        <f>SUM(S50:W50)</f>
        <v>790</v>
      </c>
      <c r="T51" s="242"/>
      <c r="U51" s="242"/>
      <c r="V51" s="242"/>
      <c r="W51" s="243"/>
      <c r="X51" s="241">
        <f>SUM(X50:Z50)</f>
        <v>2210</v>
      </c>
      <c r="Y51" s="242"/>
      <c r="Z51" s="243"/>
      <c r="AA51" s="241">
        <f>SUM(AA50:AE50)</f>
        <v>790</v>
      </c>
      <c r="AB51" s="242"/>
      <c r="AC51" s="242"/>
      <c r="AD51" s="242"/>
      <c r="AE51" s="243"/>
      <c r="AF51" s="241">
        <f>SUM(AF50:AH50)</f>
        <v>2210</v>
      </c>
      <c r="AG51" s="242"/>
      <c r="AH51" s="243"/>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zoomScale="70" zoomScaleNormal="70" workbookViewId="0">
      <selection activeCell="H141" sqref="H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270" t="s">
        <v>75</v>
      </c>
      <c r="B1" s="270"/>
      <c r="C1" s="270"/>
      <c r="D1" s="270"/>
      <c r="E1" s="270"/>
      <c r="F1" s="270"/>
      <c r="G1" s="270"/>
      <c r="H1" s="270"/>
      <c r="I1" s="270"/>
      <c r="J1" s="270"/>
      <c r="K1" s="270"/>
      <c r="L1" s="270"/>
      <c r="M1" s="270"/>
      <c r="N1" s="270"/>
      <c r="O1" s="113"/>
      <c r="P1" s="113"/>
      <c r="Q1" s="113"/>
      <c r="R1" s="113"/>
      <c r="S1" s="113"/>
      <c r="T1" s="113"/>
      <c r="X1" s="271" t="s">
        <v>76</v>
      </c>
      <c r="Y1" s="271"/>
      <c r="Z1" s="271"/>
      <c r="AA1" s="271"/>
      <c r="AB1" s="271"/>
      <c r="AD1" s="272" t="s">
        <v>77</v>
      </c>
      <c r="AE1" s="272"/>
      <c r="AF1" s="272"/>
    </row>
    <row r="2" spans="1:37" ht="42" customHeight="1" thickBot="1">
      <c r="A2" s="115"/>
      <c r="B2" s="116" t="s">
        <v>78</v>
      </c>
      <c r="C2" s="116" t="s">
        <v>79</v>
      </c>
      <c r="D2" s="116" t="s">
        <v>80</v>
      </c>
      <c r="E2" s="117" t="s">
        <v>81</v>
      </c>
      <c r="F2" s="118" t="s">
        <v>82</v>
      </c>
      <c r="G2" s="273" t="s">
        <v>83</v>
      </c>
      <c r="H2" s="274"/>
      <c r="I2" s="119" t="s">
        <v>81</v>
      </c>
      <c r="J2" s="119" t="s">
        <v>82</v>
      </c>
      <c r="K2" s="275" t="s">
        <v>84</v>
      </c>
      <c r="L2" s="275"/>
      <c r="M2" s="276" t="s">
        <v>85</v>
      </c>
      <c r="N2" s="276"/>
      <c r="O2" s="275" t="s">
        <v>86</v>
      </c>
      <c r="P2" s="275"/>
      <c r="Q2" s="277" t="s">
        <v>87</v>
      </c>
      <c r="R2" s="277"/>
      <c r="S2" s="275" t="s">
        <v>88</v>
      </c>
      <c r="T2" s="275"/>
      <c r="U2" s="277" t="s">
        <v>89</v>
      </c>
      <c r="V2" s="277"/>
      <c r="X2" s="120"/>
      <c r="Y2" s="278" t="s">
        <v>90</v>
      </c>
      <c r="Z2" s="279"/>
      <c r="AA2" s="280" t="s">
        <v>91</v>
      </c>
      <c r="AB2" s="281"/>
      <c r="AD2" s="121" t="s">
        <v>92</v>
      </c>
      <c r="AE2" s="121" t="s">
        <v>93</v>
      </c>
      <c r="AF2" s="121" t="s">
        <v>94</v>
      </c>
      <c r="AI2" s="282" t="s">
        <v>95</v>
      </c>
      <c r="AJ2" s="282"/>
      <c r="AK2" s="282"/>
    </row>
    <row r="3" spans="1:37" ht="13.5" customHeight="1" thickBot="1">
      <c r="A3" s="283" t="s">
        <v>96</v>
      </c>
      <c r="B3" s="284" t="s">
        <v>97</v>
      </c>
      <c r="C3" s="284" t="s">
        <v>98</v>
      </c>
      <c r="D3" s="116" t="s">
        <v>99</v>
      </c>
      <c r="E3" s="122">
        <f>VLOOKUP(D3,履修状況!$A$4:$AH$60,19,FALSE)</f>
        <v>30</v>
      </c>
      <c r="F3" s="123">
        <f>VLOOKUP(D3,履修状況!$A$4:$AH$60,27,FALSE)</f>
        <v>0</v>
      </c>
      <c r="G3" s="285" t="s">
        <v>100</v>
      </c>
      <c r="H3" s="286"/>
      <c r="I3" s="124"/>
      <c r="J3" s="124"/>
      <c r="K3" s="287">
        <f>L3-AD3</f>
        <v>-30</v>
      </c>
      <c r="L3" s="290">
        <f>SUM(E3:E5,I3:I5)</f>
        <v>30</v>
      </c>
      <c r="M3" s="291">
        <f>N3-AD3</f>
        <v>0</v>
      </c>
      <c r="N3" s="297">
        <f>SUM(F3:F5,J3:J5,L3)</f>
        <v>60</v>
      </c>
      <c r="O3" s="287">
        <f>MIN(K3,K6,P3-AE3)</f>
        <v>-70</v>
      </c>
      <c r="P3" s="298">
        <f>L3+L6</f>
        <v>60</v>
      </c>
      <c r="Q3" s="291">
        <f>MIN(M3,M6,R3-AE3)</f>
        <v>-10</v>
      </c>
      <c r="R3" s="301">
        <f>N3+N6</f>
        <v>120</v>
      </c>
      <c r="S3" s="287">
        <f>MIN(O3,O13,O28,O39,O52,T3-AF3)</f>
        <v>-335</v>
      </c>
      <c r="T3" s="298">
        <f>SUM(P3:P61)</f>
        <v>415</v>
      </c>
      <c r="U3" s="291">
        <f>MIN(Q3,Q13,Q28,Q39,Q52,V3-AF3)</f>
        <v>-40</v>
      </c>
      <c r="V3" s="301">
        <f>SUM(R3:R61)</f>
        <v>710</v>
      </c>
      <c r="X3" s="125" t="s">
        <v>101</v>
      </c>
      <c r="Y3" s="126">
        <f>Z3-Y8</f>
        <v>-6</v>
      </c>
      <c r="Z3" s="127">
        <f>SUM(AJ4:AJ8)</f>
        <v>7</v>
      </c>
      <c r="AA3" s="128">
        <f>AB3-Y8</f>
        <v>0</v>
      </c>
      <c r="AB3" s="129">
        <f>SUM(AJ4:AJ11)</f>
        <v>13</v>
      </c>
      <c r="AD3" s="294">
        <f>基準表!F3</f>
        <v>60</v>
      </c>
      <c r="AE3" s="294">
        <f>基準表!G3</f>
        <v>130</v>
      </c>
      <c r="AF3" s="294">
        <f>基準表!H3</f>
        <v>750</v>
      </c>
      <c r="AI3" s="130"/>
      <c r="AJ3" s="130" t="s">
        <v>101</v>
      </c>
      <c r="AK3" s="131" t="s">
        <v>102</v>
      </c>
    </row>
    <row r="4" spans="1:37" ht="16" thickBot="1">
      <c r="A4" s="283"/>
      <c r="B4" s="284"/>
      <c r="C4" s="284"/>
      <c r="D4" s="116" t="s">
        <v>103</v>
      </c>
      <c r="E4" s="122">
        <f>VLOOKUP(D4,履修状況!$A$4:$AH$60,19,FALSE)</f>
        <v>0</v>
      </c>
      <c r="F4" s="123">
        <f>VLOOKUP(D4,履修状況!$A$4:$AH$60,27,FALSE)</f>
        <v>30</v>
      </c>
      <c r="G4" s="285" t="s">
        <v>104</v>
      </c>
      <c r="H4" s="286"/>
      <c r="I4" s="124"/>
      <c r="J4" s="124"/>
      <c r="K4" s="288"/>
      <c r="L4" s="290"/>
      <c r="M4" s="292"/>
      <c r="N4" s="297"/>
      <c r="O4" s="288"/>
      <c r="P4" s="299"/>
      <c r="Q4" s="292"/>
      <c r="R4" s="302"/>
      <c r="S4" s="288"/>
      <c r="T4" s="299"/>
      <c r="U4" s="292"/>
      <c r="V4" s="302"/>
      <c r="X4" s="132" t="s">
        <v>102</v>
      </c>
      <c r="Y4" s="133">
        <f>Z4-Y9</f>
        <v>-1</v>
      </c>
      <c r="Z4" s="134">
        <f>SUM(AK4:AK8)</f>
        <v>16</v>
      </c>
      <c r="AA4" s="135">
        <f>AB4-Y9</f>
        <v>-1</v>
      </c>
      <c r="AB4" s="129">
        <f>SUM(AK4:AK11)</f>
        <v>16</v>
      </c>
      <c r="AD4" s="294"/>
      <c r="AE4" s="294"/>
      <c r="AF4" s="294"/>
      <c r="AI4" s="130" t="s">
        <v>105</v>
      </c>
      <c r="AJ4" s="130">
        <f>SUMIFS(履修状況!$D$5:$D$42,履修状況!$M$5:$M$42,$AI4,履修状況!$C$5:$C$42,AJ$3)</f>
        <v>0</v>
      </c>
      <c r="AK4" s="130">
        <f>SUMIFS(履修状況!$D$5:$D$42,履修状況!$M$5:$M$42,$AI4,履修状況!$C$5:$C$42,AK$3)</f>
        <v>0</v>
      </c>
    </row>
    <row r="5" spans="1:37" ht="16" thickBot="1">
      <c r="A5" s="283"/>
      <c r="B5" s="284"/>
      <c r="C5" s="284"/>
      <c r="D5" s="136" t="s">
        <v>106</v>
      </c>
      <c r="E5" s="124"/>
      <c r="F5" s="124"/>
      <c r="G5" s="285" t="s">
        <v>107</v>
      </c>
      <c r="H5" s="286"/>
      <c r="I5" s="124"/>
      <c r="J5" s="124"/>
      <c r="K5" s="289"/>
      <c r="L5" s="290"/>
      <c r="M5" s="293"/>
      <c r="N5" s="297"/>
      <c r="O5" s="288"/>
      <c r="P5" s="299"/>
      <c r="Q5" s="292"/>
      <c r="R5" s="302"/>
      <c r="S5" s="288"/>
      <c r="T5" s="299"/>
      <c r="U5" s="292"/>
      <c r="V5" s="302"/>
      <c r="X5" s="137" t="s">
        <v>108</v>
      </c>
      <c r="Y5" s="138">
        <f>Z5-Y10</f>
        <v>-7</v>
      </c>
      <c r="Z5" s="139">
        <f>SUM(Z3:Z4)</f>
        <v>23</v>
      </c>
      <c r="AA5" s="140">
        <f>AB5-Y10</f>
        <v>-1</v>
      </c>
      <c r="AB5" s="141">
        <f>SUM(AB3:AB4)</f>
        <v>29</v>
      </c>
      <c r="AD5" s="294"/>
      <c r="AE5" s="294"/>
      <c r="AF5" s="294"/>
      <c r="AI5" s="130" t="s">
        <v>109</v>
      </c>
      <c r="AJ5" s="130">
        <f>SUMIFS(履修状況!$D$5:$D$42,履修状況!$M$5:$M$42,$AI5,履修状況!$C$5:$C$42,AJ$3)</f>
        <v>7</v>
      </c>
      <c r="AK5" s="130">
        <f>SUMIFS(履修状況!$D$5:$D$42,履修状況!$M$5:$M$42,$AI5,履修状況!$C$5:$C$42,AK$3)</f>
        <v>6</v>
      </c>
    </row>
    <row r="6" spans="1:37" ht="16" thickBot="1">
      <c r="A6" s="283"/>
      <c r="B6" s="284"/>
      <c r="C6" s="284" t="s">
        <v>110</v>
      </c>
      <c r="D6" s="116" t="s">
        <v>111</v>
      </c>
      <c r="E6" s="122">
        <f>VLOOKUP(D6,履修状況!$A$4:$AH$60,19,FALSE)</f>
        <v>30</v>
      </c>
      <c r="F6" s="123">
        <f>VLOOKUP(D6,履修状況!$A$4:$AH$60,27,FALSE)</f>
        <v>0</v>
      </c>
      <c r="G6" s="285" t="s">
        <v>112</v>
      </c>
      <c r="H6" s="286"/>
      <c r="I6" s="124"/>
      <c r="J6" s="124"/>
      <c r="K6" s="287">
        <f>L6-AD6</f>
        <v>-30</v>
      </c>
      <c r="L6" s="290">
        <f>SUM(E6:E12,I6:I12)</f>
        <v>30</v>
      </c>
      <c r="M6" s="291">
        <f>N6-AD6</f>
        <v>0</v>
      </c>
      <c r="N6" s="297">
        <f>SUM(F6:F12,J6:J12,L6)</f>
        <v>60</v>
      </c>
      <c r="O6" s="288"/>
      <c r="P6" s="299"/>
      <c r="Q6" s="292"/>
      <c r="R6" s="302"/>
      <c r="S6" s="288"/>
      <c r="T6" s="299"/>
      <c r="U6" s="292"/>
      <c r="V6" s="302"/>
      <c r="AD6" s="294">
        <f>基準表!F4</f>
        <v>60</v>
      </c>
      <c r="AE6" s="294"/>
      <c r="AF6" s="294"/>
      <c r="AI6" s="130" t="s">
        <v>113</v>
      </c>
      <c r="AJ6" s="130">
        <f>SUMIFS(履修状況!$D$5:$D$42,履修状況!$M$5:$M$42,$AI6,履修状況!$C$5:$C$42,AJ$3)</f>
        <v>0</v>
      </c>
      <c r="AK6" s="130">
        <f>SUMIFS(履修状況!$D$5:$D$42,履修状況!$M$5:$M$42,$AI6,履修状況!$C$5:$C$42,AK$3)</f>
        <v>8</v>
      </c>
    </row>
    <row r="7" spans="1:37" ht="16" customHeight="1" thickBot="1">
      <c r="A7" s="283"/>
      <c r="B7" s="284"/>
      <c r="C7" s="284"/>
      <c r="D7" s="116" t="s">
        <v>114</v>
      </c>
      <c r="E7" s="122">
        <f>VLOOKUP(D7,履修状況!$A$4:$AH$60,19,FALSE)</f>
        <v>0</v>
      </c>
      <c r="F7" s="123">
        <f>VLOOKUP(D7,履修状況!$A$4:$AH$60,27,FALSE)</f>
        <v>30</v>
      </c>
      <c r="G7" s="285" t="s">
        <v>115</v>
      </c>
      <c r="H7" s="286"/>
      <c r="I7" s="124"/>
      <c r="J7" s="124"/>
      <c r="K7" s="288"/>
      <c r="L7" s="290"/>
      <c r="M7" s="292"/>
      <c r="N7" s="297"/>
      <c r="O7" s="288"/>
      <c r="P7" s="299"/>
      <c r="Q7" s="292"/>
      <c r="R7" s="302"/>
      <c r="S7" s="288"/>
      <c r="T7" s="299"/>
      <c r="U7" s="292"/>
      <c r="V7" s="302"/>
      <c r="X7" s="308" t="s">
        <v>116</v>
      </c>
      <c r="Y7" s="309"/>
      <c r="Z7" s="310"/>
      <c r="AA7" s="142"/>
      <c r="AB7" s="142"/>
      <c r="AD7" s="294"/>
      <c r="AE7" s="294"/>
      <c r="AF7" s="294"/>
      <c r="AI7" s="130" t="s">
        <v>117</v>
      </c>
      <c r="AJ7" s="130">
        <f>SUMIFS(履修状況!$D$5:$D$42,履修状況!$M$5:$M$42,$AI7,履修状況!$C$5:$C$42,AJ$3)</f>
        <v>0</v>
      </c>
      <c r="AK7" s="130">
        <f>SUMIFS(履修状況!$D$5:$D$42,履修状況!$M$5:$M$42,$AI7,履修状況!$C$5:$C$42,AK$3)</f>
        <v>2</v>
      </c>
    </row>
    <row r="8" spans="1:37" ht="16" thickBot="1">
      <c r="A8" s="283"/>
      <c r="B8" s="284"/>
      <c r="C8" s="284"/>
      <c r="D8" s="116" t="s">
        <v>118</v>
      </c>
      <c r="E8" s="122">
        <f>VLOOKUP(D8,履修状況!$A$4:$AH$60,19,FALSE)</f>
        <v>0</v>
      </c>
      <c r="F8" s="123">
        <f>VLOOKUP(D8,履修状況!$A$4:$AH$60,27,FALSE)</f>
        <v>0</v>
      </c>
      <c r="G8" s="285" t="s">
        <v>119</v>
      </c>
      <c r="H8" s="286"/>
      <c r="I8" s="124"/>
      <c r="J8" s="124"/>
      <c r="K8" s="288"/>
      <c r="L8" s="290"/>
      <c r="M8" s="292"/>
      <c r="N8" s="297"/>
      <c r="O8" s="288"/>
      <c r="P8" s="299"/>
      <c r="Q8" s="292"/>
      <c r="R8" s="302"/>
      <c r="S8" s="288"/>
      <c r="T8" s="299"/>
      <c r="U8" s="292"/>
      <c r="V8" s="302"/>
      <c r="X8" s="143" t="s">
        <v>101</v>
      </c>
      <c r="Y8" s="311">
        <v>13</v>
      </c>
      <c r="Z8" s="312"/>
      <c r="AD8" s="294"/>
      <c r="AE8" s="294"/>
      <c r="AF8" s="294"/>
      <c r="AI8" s="130" t="s">
        <v>120</v>
      </c>
      <c r="AJ8" s="130">
        <f>SUMIFS(履修状況!$D$5:$D$42,履修状況!$M$5:$M$42,$AI8,履修状況!$C$5:$C$42,AJ$3)</f>
        <v>0</v>
      </c>
      <c r="AK8" s="130">
        <f>SUMIFS(履修状況!$D$5:$D$42,履修状況!$M$5:$M$42,$AI8,履修状況!$C$5:$C$42,AK$3)</f>
        <v>0</v>
      </c>
    </row>
    <row r="9" spans="1:37" ht="16" thickBot="1">
      <c r="A9" s="283"/>
      <c r="B9" s="284"/>
      <c r="C9" s="284"/>
      <c r="D9" s="116" t="s">
        <v>121</v>
      </c>
      <c r="E9" s="122">
        <f>VLOOKUP(D9,履修状況!$A$4:$AH$60,19,FALSE)</f>
        <v>0</v>
      </c>
      <c r="F9" s="123">
        <f>VLOOKUP(D9,履修状況!$A$4:$AH$60,27,FALSE)</f>
        <v>0</v>
      </c>
      <c r="G9" s="304"/>
      <c r="H9" s="305"/>
      <c r="I9" s="124"/>
      <c r="J9" s="124"/>
      <c r="K9" s="288"/>
      <c r="L9" s="290"/>
      <c r="M9" s="292"/>
      <c r="N9" s="297"/>
      <c r="O9" s="288"/>
      <c r="P9" s="299"/>
      <c r="Q9" s="292"/>
      <c r="R9" s="302"/>
      <c r="S9" s="288"/>
      <c r="T9" s="299"/>
      <c r="U9" s="292"/>
      <c r="V9" s="302"/>
      <c r="X9" s="144" t="s">
        <v>102</v>
      </c>
      <c r="Y9" s="311">
        <v>17</v>
      </c>
      <c r="Z9" s="312"/>
      <c r="AD9" s="294"/>
      <c r="AE9" s="294"/>
      <c r="AF9" s="294"/>
      <c r="AI9" s="130" t="s">
        <v>122</v>
      </c>
      <c r="AJ9" s="130">
        <f>SUMIFS(履修状況!$D$5:$D$42,履修状況!$M$5:$M$42,$AI9,履修状況!$C$5:$C$42,AJ$3)</f>
        <v>0</v>
      </c>
      <c r="AK9" s="130">
        <f>SUMIFS(履修状況!$D$5:$D$42,履修状況!$M$5:$M$42,$AI9,履修状況!$C$5:$C$42,AK$3)</f>
        <v>0</v>
      </c>
    </row>
    <row r="10" spans="1:37" ht="16" thickBot="1">
      <c r="A10" s="283"/>
      <c r="B10" s="284"/>
      <c r="C10" s="284"/>
      <c r="D10" s="116" t="s">
        <v>123</v>
      </c>
      <c r="E10" s="122">
        <f>VLOOKUP(D10,履修状況!$A$4:$AH$60,19,FALSE)</f>
        <v>0</v>
      </c>
      <c r="F10" s="123">
        <f>VLOOKUP(D10,履修状況!$A$4:$AH$60,27,FALSE)</f>
        <v>0</v>
      </c>
      <c r="G10" s="304"/>
      <c r="H10" s="305"/>
      <c r="I10" s="124"/>
      <c r="J10" s="124"/>
      <c r="K10" s="288"/>
      <c r="L10" s="290"/>
      <c r="M10" s="292"/>
      <c r="N10" s="297"/>
      <c r="O10" s="288"/>
      <c r="P10" s="299"/>
      <c r="Q10" s="292"/>
      <c r="R10" s="302"/>
      <c r="S10" s="288"/>
      <c r="T10" s="299"/>
      <c r="U10" s="292"/>
      <c r="V10" s="302"/>
      <c r="X10" s="145" t="s">
        <v>108</v>
      </c>
      <c r="Y10" s="295">
        <v>30</v>
      </c>
      <c r="Z10" s="296"/>
      <c r="AD10" s="294"/>
      <c r="AE10" s="294"/>
      <c r="AF10" s="294"/>
      <c r="AI10" s="130" t="s">
        <v>124</v>
      </c>
      <c r="AJ10" s="130">
        <f>SUMIFS(履修状況!$D$5:$D$42,履修状況!$M$5:$M$42,$AI10,履修状況!$C$5:$C$42,AJ$3)</f>
        <v>6</v>
      </c>
      <c r="AK10" s="130">
        <f>SUMIFS(履修状況!$D$5:$D$42,履修状況!$M$5:$M$42,$AI10,履修状況!$C$5:$C$42,AK$3)</f>
        <v>0</v>
      </c>
    </row>
    <row r="11" spans="1:37" ht="16" thickBot="1">
      <c r="A11" s="283"/>
      <c r="B11" s="284"/>
      <c r="C11" s="284"/>
      <c r="D11" s="116" t="s">
        <v>125</v>
      </c>
      <c r="E11" s="122">
        <f>VLOOKUP(D11,履修状況!$A$4:$AH$60,19,FALSE)</f>
        <v>0</v>
      </c>
      <c r="F11" s="123">
        <f>VLOOKUP(D11,履修状況!$A$4:$AH$60,27,FALSE)</f>
        <v>0</v>
      </c>
      <c r="G11" s="304"/>
      <c r="H11" s="305"/>
      <c r="I11" s="124"/>
      <c r="J11" s="124"/>
      <c r="K11" s="288"/>
      <c r="L11" s="290"/>
      <c r="M11" s="292"/>
      <c r="N11" s="297"/>
      <c r="O11" s="288"/>
      <c r="P11" s="299"/>
      <c r="Q11" s="292"/>
      <c r="R11" s="302"/>
      <c r="S11" s="288"/>
      <c r="T11" s="299"/>
      <c r="U11" s="292"/>
      <c r="V11" s="302"/>
      <c r="X11" s="130"/>
      <c r="Y11" s="130"/>
      <c r="Z11" s="130"/>
      <c r="AA11" s="130"/>
      <c r="AD11" s="294"/>
      <c r="AE11" s="294"/>
      <c r="AF11" s="294"/>
      <c r="AI11" s="130" t="s">
        <v>126</v>
      </c>
      <c r="AJ11" s="130">
        <f>SUMIFS(履修状況!$D$5:$D$42,履修状況!$M$5:$M$42,$AI11,履修状況!$C$5:$C$42,AJ$3)</f>
        <v>0</v>
      </c>
      <c r="AK11" s="130">
        <f>SUMIFS(履修状況!$D$5:$D$42,履修状況!$M$5:$M$42,$AI11,履修状況!$C$5:$C$42,AK$3)</f>
        <v>0</v>
      </c>
    </row>
    <row r="12" spans="1:37" ht="16" thickBot="1">
      <c r="A12" s="283"/>
      <c r="B12" s="284"/>
      <c r="C12" s="284"/>
      <c r="D12" s="136" t="s">
        <v>106</v>
      </c>
      <c r="E12" s="124"/>
      <c r="F12" s="124"/>
      <c r="G12" s="304"/>
      <c r="H12" s="305"/>
      <c r="I12" s="124"/>
      <c r="J12" s="124"/>
      <c r="K12" s="289"/>
      <c r="L12" s="290"/>
      <c r="M12" s="293"/>
      <c r="N12" s="297"/>
      <c r="O12" s="289"/>
      <c r="P12" s="300"/>
      <c r="Q12" s="293"/>
      <c r="R12" s="303"/>
      <c r="S12" s="288"/>
      <c r="T12" s="299"/>
      <c r="U12" s="292"/>
      <c r="V12" s="302"/>
      <c r="X12" s="130"/>
      <c r="Y12" s="130"/>
      <c r="Z12" s="130"/>
      <c r="AA12" s="130"/>
      <c r="AD12" s="294"/>
      <c r="AE12" s="294"/>
      <c r="AF12" s="294"/>
    </row>
    <row r="13" spans="1:37" ht="13.5" customHeight="1" thickBot="1">
      <c r="A13" s="283"/>
      <c r="B13" s="284" t="s">
        <v>127</v>
      </c>
      <c r="C13" s="284" t="s">
        <v>128</v>
      </c>
      <c r="D13" s="116" t="s">
        <v>129</v>
      </c>
      <c r="E13" s="122">
        <f>VLOOKUP(D13,履修状況!$A$4:$AH$60,20,FALSE)</f>
        <v>10</v>
      </c>
      <c r="F13" s="123">
        <f>VLOOKUP(D13,履修状況!$A$4:$AH$60,28,FALSE)</f>
        <v>0</v>
      </c>
      <c r="G13" s="285" t="s">
        <v>130</v>
      </c>
      <c r="H13" s="286"/>
      <c r="I13" s="124">
        <v>20</v>
      </c>
      <c r="J13" s="124"/>
      <c r="K13" s="287">
        <f>L13-AD13</f>
        <v>-10</v>
      </c>
      <c r="L13" s="290">
        <f>SUM(E13:E18,I13:I18)</f>
        <v>50</v>
      </c>
      <c r="M13" s="291">
        <f>N13-AD13</f>
        <v>30</v>
      </c>
      <c r="N13" s="297">
        <f>SUM(F13:F18,J13:J18,L13)</f>
        <v>90</v>
      </c>
      <c r="O13" s="287">
        <f>MIN(K13,K19,P13-AE13)</f>
        <v>-50</v>
      </c>
      <c r="P13" s="298">
        <f>L13+L19</f>
        <v>80</v>
      </c>
      <c r="Q13" s="291">
        <f>MIN(M13,M19,R13-AE13)</f>
        <v>0</v>
      </c>
      <c r="R13" s="301">
        <f>N13+N19</f>
        <v>150</v>
      </c>
      <c r="S13" s="288"/>
      <c r="T13" s="299"/>
      <c r="U13" s="292"/>
      <c r="V13" s="302"/>
      <c r="X13" s="130"/>
      <c r="Y13" s="130"/>
      <c r="Z13" s="130"/>
      <c r="AA13" s="130"/>
      <c r="AD13" s="294">
        <f>基準表!F5</f>
        <v>60</v>
      </c>
      <c r="AE13" s="294">
        <f>基準表!G5</f>
        <v>130</v>
      </c>
      <c r="AF13" s="294"/>
    </row>
    <row r="14" spans="1:37" ht="16" thickBot="1">
      <c r="A14" s="283"/>
      <c r="B14" s="284"/>
      <c r="C14" s="284"/>
      <c r="D14" s="116" t="s">
        <v>99</v>
      </c>
      <c r="E14" s="122">
        <f>VLOOKUP(D14,履修状況!$A$4:$AH$60,20,FALSE)</f>
        <v>20</v>
      </c>
      <c r="F14" s="123">
        <f>VLOOKUP(D14,履修状況!$A$4:$AH$60,28,FALSE)</f>
        <v>0</v>
      </c>
      <c r="G14" s="285" t="s">
        <v>131</v>
      </c>
      <c r="H14" s="286"/>
      <c r="I14" s="124"/>
      <c r="J14" s="124">
        <v>20</v>
      </c>
      <c r="K14" s="288"/>
      <c r="L14" s="290"/>
      <c r="M14" s="292"/>
      <c r="N14" s="297"/>
      <c r="O14" s="288"/>
      <c r="P14" s="299"/>
      <c r="Q14" s="292"/>
      <c r="R14" s="302"/>
      <c r="S14" s="288"/>
      <c r="T14" s="299"/>
      <c r="U14" s="292"/>
      <c r="V14" s="302"/>
      <c r="X14" s="130"/>
      <c r="Y14" s="130"/>
      <c r="Z14" s="130"/>
      <c r="AA14" s="130"/>
      <c r="AD14" s="294"/>
      <c r="AE14" s="294"/>
      <c r="AF14" s="294"/>
    </row>
    <row r="15" spans="1:37" ht="16" thickBot="1">
      <c r="A15" s="283"/>
      <c r="B15" s="284"/>
      <c r="C15" s="284"/>
      <c r="D15" s="116" t="s">
        <v>132</v>
      </c>
      <c r="E15" s="122">
        <f>VLOOKUP(D15,履修状況!$A$4:$AH$60,20,FALSE)</f>
        <v>0</v>
      </c>
      <c r="F15" s="123">
        <f>VLOOKUP(D15,履修状況!$A$4:$AH$60,28,FALSE)</f>
        <v>20</v>
      </c>
      <c r="G15" s="304"/>
      <c r="H15" s="305"/>
      <c r="I15" s="124"/>
      <c r="J15" s="124"/>
      <c r="K15" s="288"/>
      <c r="L15" s="290"/>
      <c r="M15" s="292"/>
      <c r="N15" s="297"/>
      <c r="O15" s="288"/>
      <c r="P15" s="299"/>
      <c r="Q15" s="292"/>
      <c r="R15" s="302"/>
      <c r="S15" s="288"/>
      <c r="T15" s="299"/>
      <c r="U15" s="292"/>
      <c r="V15" s="302"/>
      <c r="X15" s="130"/>
      <c r="Y15" s="130"/>
      <c r="Z15" s="130"/>
      <c r="AA15" s="130"/>
      <c r="AD15" s="294"/>
      <c r="AE15" s="294"/>
      <c r="AF15" s="294"/>
    </row>
    <row r="16" spans="1:37" ht="15" thickBot="1">
      <c r="A16" s="283"/>
      <c r="B16" s="284"/>
      <c r="C16" s="284"/>
      <c r="D16" s="146" t="s">
        <v>42</v>
      </c>
      <c r="E16" s="122">
        <f>VLOOKUP(D16,履修状況!$A$4:$AH$60,20,FALSE)</f>
        <v>0</v>
      </c>
      <c r="F16" s="123">
        <f>VLOOKUP(D16,履修状況!$A$4:$AH$60,28,FALSE)</f>
        <v>0</v>
      </c>
      <c r="G16" s="304"/>
      <c r="H16" s="305"/>
      <c r="I16" s="124"/>
      <c r="J16" s="124"/>
      <c r="K16" s="288"/>
      <c r="L16" s="290"/>
      <c r="M16" s="292"/>
      <c r="N16" s="297"/>
      <c r="O16" s="288"/>
      <c r="P16" s="299"/>
      <c r="Q16" s="292"/>
      <c r="R16" s="302"/>
      <c r="S16" s="288"/>
      <c r="T16" s="299"/>
      <c r="U16" s="292"/>
      <c r="V16" s="302"/>
      <c r="X16" s="130"/>
      <c r="Y16" s="130"/>
      <c r="Z16" s="130"/>
      <c r="AA16" s="130"/>
      <c r="AD16" s="294"/>
      <c r="AE16" s="294"/>
      <c r="AF16" s="294"/>
    </row>
    <row r="17" spans="1:32" ht="15" thickBot="1">
      <c r="A17" s="283"/>
      <c r="B17" s="284"/>
      <c r="C17" s="284"/>
      <c r="D17" s="146" t="s">
        <v>43</v>
      </c>
      <c r="E17" s="122">
        <f>VLOOKUP(D17,履修状況!$A$4:$AH$60,20,FALSE)</f>
        <v>0</v>
      </c>
      <c r="F17" s="123">
        <f>VLOOKUP(D17,履修状況!$A$4:$AH$60,28,FALSE)</f>
        <v>0</v>
      </c>
      <c r="G17" s="304"/>
      <c r="H17" s="305"/>
      <c r="I17" s="124"/>
      <c r="J17" s="124"/>
      <c r="K17" s="288"/>
      <c r="L17" s="290"/>
      <c r="M17" s="292"/>
      <c r="N17" s="297"/>
      <c r="O17" s="288"/>
      <c r="P17" s="299"/>
      <c r="Q17" s="292"/>
      <c r="R17" s="302"/>
      <c r="S17" s="288"/>
      <c r="T17" s="299"/>
      <c r="U17" s="292"/>
      <c r="V17" s="302"/>
      <c r="X17" s="130"/>
      <c r="Y17" s="130"/>
      <c r="Z17" s="130"/>
      <c r="AA17" s="130"/>
      <c r="AD17" s="294"/>
      <c r="AE17" s="294"/>
      <c r="AF17" s="294"/>
    </row>
    <row r="18" spans="1:32" ht="16" thickBot="1">
      <c r="A18" s="283"/>
      <c r="B18" s="284"/>
      <c r="C18" s="284"/>
      <c r="D18" s="136" t="s">
        <v>106</v>
      </c>
      <c r="E18" s="124"/>
      <c r="F18" s="124"/>
      <c r="G18" s="304"/>
      <c r="H18" s="305"/>
      <c r="I18" s="124"/>
      <c r="J18" s="124"/>
      <c r="K18" s="289"/>
      <c r="L18" s="290"/>
      <c r="M18" s="293"/>
      <c r="N18" s="297"/>
      <c r="O18" s="288"/>
      <c r="P18" s="299"/>
      <c r="Q18" s="292"/>
      <c r="R18" s="302"/>
      <c r="S18" s="288"/>
      <c r="T18" s="299"/>
      <c r="U18" s="292"/>
      <c r="V18" s="302"/>
      <c r="X18" s="130"/>
      <c r="Y18" s="130"/>
      <c r="Z18" s="130"/>
      <c r="AA18" s="130"/>
      <c r="AD18" s="294"/>
      <c r="AE18" s="294"/>
      <c r="AF18" s="294"/>
    </row>
    <row r="19" spans="1:32" ht="16" thickBot="1">
      <c r="A19" s="283"/>
      <c r="B19" s="284"/>
      <c r="C19" s="284" t="s">
        <v>133</v>
      </c>
      <c r="D19" s="116" t="s">
        <v>134</v>
      </c>
      <c r="E19" s="122">
        <f>VLOOKUP(D19,履修状況!$A$4:$AH$60,20,FALSE)</f>
        <v>30</v>
      </c>
      <c r="F19" s="123">
        <f>VLOOKUP(D19,履修状況!$A$4:$AH$60,28,FALSE)</f>
        <v>0</v>
      </c>
      <c r="G19" s="285" t="s">
        <v>112</v>
      </c>
      <c r="H19" s="286"/>
      <c r="I19" s="124"/>
      <c r="J19" s="124"/>
      <c r="K19" s="287">
        <f>L19-AD19</f>
        <v>-30</v>
      </c>
      <c r="L19" s="290">
        <f>SUM(E19:E27,I19:I27)</f>
        <v>30</v>
      </c>
      <c r="M19" s="291">
        <f>N19-AD19</f>
        <v>0</v>
      </c>
      <c r="N19" s="297">
        <f>SUM(F19:F27,J19:J27,L19)</f>
        <v>60</v>
      </c>
      <c r="O19" s="288"/>
      <c r="P19" s="299"/>
      <c r="Q19" s="292"/>
      <c r="R19" s="302"/>
      <c r="S19" s="288"/>
      <c r="T19" s="299"/>
      <c r="U19" s="292"/>
      <c r="V19" s="302"/>
      <c r="X19" s="130"/>
      <c r="Y19" s="130"/>
      <c r="Z19" s="130"/>
      <c r="AA19" s="130"/>
      <c r="AD19" s="294">
        <f>基準表!F6</f>
        <v>60</v>
      </c>
      <c r="AE19" s="294"/>
      <c r="AF19" s="294"/>
    </row>
    <row r="20" spans="1:32" ht="16" thickBot="1">
      <c r="A20" s="283"/>
      <c r="B20" s="284"/>
      <c r="C20" s="284"/>
      <c r="D20" s="116" t="s">
        <v>135</v>
      </c>
      <c r="E20" s="122">
        <f>VLOOKUP(D20,履修状況!$A$4:$AH$60,20,FALSE)</f>
        <v>0</v>
      </c>
      <c r="F20" s="123">
        <f>VLOOKUP(D20,履修状況!$A$4:$AH$60,28,FALSE)</f>
        <v>30</v>
      </c>
      <c r="G20" s="285" t="s">
        <v>136</v>
      </c>
      <c r="H20" s="286"/>
      <c r="I20" s="124"/>
      <c r="J20" s="124"/>
      <c r="K20" s="288"/>
      <c r="L20" s="290"/>
      <c r="M20" s="292"/>
      <c r="N20" s="297"/>
      <c r="O20" s="288"/>
      <c r="P20" s="299"/>
      <c r="Q20" s="292"/>
      <c r="R20" s="302"/>
      <c r="S20" s="288"/>
      <c r="T20" s="299"/>
      <c r="U20" s="292"/>
      <c r="V20" s="302"/>
      <c r="X20" s="130"/>
      <c r="Y20" s="130"/>
      <c r="Z20" s="130"/>
      <c r="AA20" s="130"/>
      <c r="AD20" s="294"/>
      <c r="AE20" s="294"/>
      <c r="AF20" s="294"/>
    </row>
    <row r="21" spans="1:32" ht="16" thickBot="1">
      <c r="A21" s="283"/>
      <c r="B21" s="284"/>
      <c r="C21" s="284"/>
      <c r="D21" s="116" t="s">
        <v>137</v>
      </c>
      <c r="E21" s="122">
        <f>VLOOKUP(D21,履修状況!$A$4:$AH$60,20,FALSE)</f>
        <v>0</v>
      </c>
      <c r="F21" s="123">
        <f>VLOOKUP(D21,履修状況!$A$4:$AH$60,28,FALSE)</f>
        <v>0</v>
      </c>
      <c r="G21" s="285" t="s">
        <v>138</v>
      </c>
      <c r="H21" s="286"/>
      <c r="I21" s="124"/>
      <c r="J21" s="124"/>
      <c r="K21" s="288"/>
      <c r="L21" s="290"/>
      <c r="M21" s="292"/>
      <c r="N21" s="297"/>
      <c r="O21" s="288"/>
      <c r="P21" s="299"/>
      <c r="Q21" s="292"/>
      <c r="R21" s="302"/>
      <c r="S21" s="288"/>
      <c r="T21" s="299"/>
      <c r="U21" s="292"/>
      <c r="V21" s="302"/>
      <c r="X21" s="130"/>
      <c r="Y21" s="130"/>
      <c r="Z21" s="130"/>
      <c r="AA21" s="130"/>
      <c r="AD21" s="294"/>
      <c r="AE21" s="294"/>
      <c r="AF21" s="294"/>
    </row>
    <row r="22" spans="1:32" ht="16" thickBot="1">
      <c r="A22" s="283"/>
      <c r="B22" s="284"/>
      <c r="C22" s="284"/>
      <c r="D22" s="116" t="s">
        <v>121</v>
      </c>
      <c r="E22" s="122">
        <f>VLOOKUP(D22,履修状況!$A$4:$AH$60,20,FALSE)</f>
        <v>0</v>
      </c>
      <c r="F22" s="123">
        <f>VLOOKUP(D22,履修状況!$A$4:$AH$60,28,FALSE)</f>
        <v>0</v>
      </c>
      <c r="G22" s="304"/>
      <c r="H22" s="305"/>
      <c r="I22" s="124"/>
      <c r="J22" s="124"/>
      <c r="K22" s="288"/>
      <c r="L22" s="290"/>
      <c r="M22" s="292"/>
      <c r="N22" s="297"/>
      <c r="O22" s="288"/>
      <c r="P22" s="299"/>
      <c r="Q22" s="292"/>
      <c r="R22" s="302"/>
      <c r="S22" s="288"/>
      <c r="T22" s="299"/>
      <c r="U22" s="292"/>
      <c r="V22" s="302"/>
      <c r="X22" s="130"/>
      <c r="Y22" s="130"/>
      <c r="Z22" s="130"/>
      <c r="AA22" s="130"/>
      <c r="AD22" s="294"/>
      <c r="AE22" s="294"/>
      <c r="AF22" s="294"/>
    </row>
    <row r="23" spans="1:32" ht="16" thickBot="1">
      <c r="A23" s="283"/>
      <c r="B23" s="284"/>
      <c r="C23" s="284"/>
      <c r="D23" s="116" t="s">
        <v>139</v>
      </c>
      <c r="E23" s="122">
        <f>VLOOKUP(D23,履修状況!$A$4:$AH$60,20,FALSE)</f>
        <v>0</v>
      </c>
      <c r="F23" s="123">
        <f>VLOOKUP(D23,履修状況!$A$4:$AH$60,28,FALSE)</f>
        <v>0</v>
      </c>
      <c r="G23" s="304"/>
      <c r="H23" s="305"/>
      <c r="I23" s="124"/>
      <c r="J23" s="124"/>
      <c r="K23" s="288"/>
      <c r="L23" s="290"/>
      <c r="M23" s="292"/>
      <c r="N23" s="297"/>
      <c r="O23" s="288"/>
      <c r="P23" s="299"/>
      <c r="Q23" s="292"/>
      <c r="R23" s="302"/>
      <c r="S23" s="288"/>
      <c r="T23" s="299"/>
      <c r="U23" s="292"/>
      <c r="V23" s="302"/>
      <c r="X23" s="130"/>
      <c r="Y23" s="130"/>
      <c r="Z23" s="130"/>
      <c r="AA23" s="130"/>
      <c r="AD23" s="294"/>
      <c r="AE23" s="294"/>
      <c r="AF23" s="294"/>
    </row>
    <row r="24" spans="1:32" ht="16" thickBot="1">
      <c r="A24" s="283"/>
      <c r="B24" s="284"/>
      <c r="C24" s="284"/>
      <c r="D24" s="116" t="s">
        <v>140</v>
      </c>
      <c r="E24" s="122">
        <f>VLOOKUP(D24,履修状況!$A$4:$AH$60,20,FALSE)</f>
        <v>0</v>
      </c>
      <c r="F24" s="123">
        <f>VLOOKUP(D24,履修状況!$A$4:$AH$60,28,FALSE)</f>
        <v>0</v>
      </c>
      <c r="G24" s="304"/>
      <c r="H24" s="305"/>
      <c r="I24" s="124"/>
      <c r="J24" s="124"/>
      <c r="K24" s="288"/>
      <c r="L24" s="290"/>
      <c r="M24" s="292"/>
      <c r="N24" s="297"/>
      <c r="O24" s="288"/>
      <c r="P24" s="299"/>
      <c r="Q24" s="292"/>
      <c r="R24" s="302"/>
      <c r="S24" s="288"/>
      <c r="T24" s="299"/>
      <c r="U24" s="292"/>
      <c r="V24" s="302"/>
      <c r="X24" s="130"/>
      <c r="Y24" s="130"/>
      <c r="Z24" s="130"/>
      <c r="AA24" s="130"/>
      <c r="AD24" s="294"/>
      <c r="AE24" s="294"/>
      <c r="AF24" s="294"/>
    </row>
    <row r="25" spans="1:32" ht="15" thickBot="1">
      <c r="A25" s="283"/>
      <c r="B25" s="284"/>
      <c r="C25" s="284"/>
      <c r="D25" s="146" t="s">
        <v>141</v>
      </c>
      <c r="E25" s="122">
        <f>VLOOKUP(D25,履修状況!$A$4:$AH$60,20,FALSE)</f>
        <v>0</v>
      </c>
      <c r="F25" s="123">
        <f>VLOOKUP(D25,履修状況!$A$4:$AH$60,28,FALSE)</f>
        <v>0</v>
      </c>
      <c r="G25" s="304"/>
      <c r="H25" s="305"/>
      <c r="I25" s="124"/>
      <c r="J25" s="124"/>
      <c r="K25" s="288"/>
      <c r="L25" s="290"/>
      <c r="M25" s="292"/>
      <c r="N25" s="297"/>
      <c r="O25" s="288"/>
      <c r="P25" s="299"/>
      <c r="Q25" s="292"/>
      <c r="R25" s="302"/>
      <c r="S25" s="288"/>
      <c r="T25" s="299"/>
      <c r="U25" s="292"/>
      <c r="V25" s="302"/>
      <c r="X25" s="130"/>
      <c r="Y25" s="130"/>
      <c r="Z25" s="130"/>
      <c r="AA25" s="130"/>
      <c r="AD25" s="294"/>
      <c r="AE25" s="294"/>
      <c r="AF25" s="294"/>
    </row>
    <row r="26" spans="1:32" ht="16" thickBot="1">
      <c r="A26" s="283"/>
      <c r="B26" s="284"/>
      <c r="C26" s="284"/>
      <c r="D26" s="116" t="s">
        <v>142</v>
      </c>
      <c r="E26" s="122">
        <f>VLOOKUP(D26,履修状況!$A$4:$AH$60,20,FALSE)</f>
        <v>0</v>
      </c>
      <c r="F26" s="123">
        <f>VLOOKUP(D26,履修状況!$A$4:$AH$60,28,FALSE)</f>
        <v>0</v>
      </c>
      <c r="G26" s="304"/>
      <c r="H26" s="305"/>
      <c r="I26" s="124"/>
      <c r="J26" s="124"/>
      <c r="K26" s="288"/>
      <c r="L26" s="290"/>
      <c r="M26" s="292"/>
      <c r="N26" s="297"/>
      <c r="O26" s="288"/>
      <c r="P26" s="299"/>
      <c r="Q26" s="292"/>
      <c r="R26" s="302"/>
      <c r="S26" s="288"/>
      <c r="T26" s="299"/>
      <c r="U26" s="292"/>
      <c r="V26" s="302"/>
      <c r="X26" s="130"/>
      <c r="Y26" s="130"/>
      <c r="Z26" s="130"/>
      <c r="AA26" s="130"/>
      <c r="AD26" s="294"/>
      <c r="AE26" s="294"/>
      <c r="AF26" s="294"/>
    </row>
    <row r="27" spans="1:32" ht="16" thickBot="1">
      <c r="A27" s="283"/>
      <c r="B27" s="284"/>
      <c r="C27" s="284"/>
      <c r="D27" s="136" t="s">
        <v>106</v>
      </c>
      <c r="E27" s="124"/>
      <c r="F27" s="124"/>
      <c r="G27" s="304"/>
      <c r="H27" s="305"/>
      <c r="I27" s="124"/>
      <c r="J27" s="124"/>
      <c r="K27" s="289"/>
      <c r="L27" s="290"/>
      <c r="M27" s="293"/>
      <c r="N27" s="297"/>
      <c r="O27" s="289"/>
      <c r="P27" s="300"/>
      <c r="Q27" s="293"/>
      <c r="R27" s="303"/>
      <c r="S27" s="288"/>
      <c r="T27" s="299"/>
      <c r="U27" s="292"/>
      <c r="V27" s="302"/>
      <c r="X27" s="130"/>
      <c r="Y27" s="130"/>
      <c r="Z27" s="130"/>
      <c r="AA27" s="130"/>
      <c r="AD27" s="294"/>
      <c r="AE27" s="294"/>
      <c r="AF27" s="294"/>
    </row>
    <row r="28" spans="1:32" ht="13.5" customHeight="1" thickBot="1">
      <c r="A28" s="283"/>
      <c r="B28" s="284" t="s">
        <v>143</v>
      </c>
      <c r="C28" s="284" t="s">
        <v>144</v>
      </c>
      <c r="D28" s="116" t="s">
        <v>99</v>
      </c>
      <c r="E28" s="122">
        <f>VLOOKUP(D28,履修状況!$A$4:$AH$60,21,FALSE)</f>
        <v>30</v>
      </c>
      <c r="F28" s="123">
        <f>VLOOKUP(D28,履修状況!$A$4:$AH$60,29,FALSE)</f>
        <v>0</v>
      </c>
      <c r="G28" s="285" t="s">
        <v>145</v>
      </c>
      <c r="H28" s="286"/>
      <c r="I28" s="124"/>
      <c r="J28" s="124"/>
      <c r="K28" s="287">
        <f>L28-AD28</f>
        <v>-30</v>
      </c>
      <c r="L28" s="290">
        <f>SUM(E28:E30,I28:I30)</f>
        <v>30</v>
      </c>
      <c r="M28" s="291">
        <f>N28-AD28</f>
        <v>0</v>
      </c>
      <c r="N28" s="297">
        <f>SUM(F28:F30,J28:J30,L28)</f>
        <v>60</v>
      </c>
      <c r="O28" s="287">
        <f>MIN(K28,K31,P28-AE28)</f>
        <v>-45</v>
      </c>
      <c r="P28" s="298">
        <f>L28+L31</f>
        <v>85</v>
      </c>
      <c r="Q28" s="291">
        <f>MIN(M28,M31,R28-AE28)</f>
        <v>0</v>
      </c>
      <c r="R28" s="301">
        <f>N28+N31</f>
        <v>160</v>
      </c>
      <c r="S28" s="288"/>
      <c r="T28" s="299"/>
      <c r="U28" s="292"/>
      <c r="V28" s="302"/>
      <c r="X28" s="130"/>
      <c r="Y28" s="130"/>
      <c r="Z28" s="130"/>
      <c r="AA28" s="130"/>
      <c r="AD28" s="294">
        <f>基準表!F7</f>
        <v>60</v>
      </c>
      <c r="AE28" s="294">
        <f>基準表!G7</f>
        <v>130</v>
      </c>
      <c r="AF28" s="294"/>
    </row>
    <row r="29" spans="1:32" ht="13.5" customHeight="1" thickBot="1">
      <c r="A29" s="283"/>
      <c r="B29" s="284"/>
      <c r="C29" s="284"/>
      <c r="D29" s="116" t="s">
        <v>146</v>
      </c>
      <c r="E29" s="122">
        <f>VLOOKUP(D29,履修状況!$A$4:$AH$60,21,FALSE)</f>
        <v>0</v>
      </c>
      <c r="F29" s="123">
        <f>VLOOKUP(D29,履修状況!$A$4:$AH$60,29,FALSE)</f>
        <v>30</v>
      </c>
      <c r="G29" s="306"/>
      <c r="H29" s="307"/>
      <c r="I29" s="124"/>
      <c r="J29" s="124"/>
      <c r="K29" s="288"/>
      <c r="L29" s="290"/>
      <c r="M29" s="292"/>
      <c r="N29" s="297"/>
      <c r="O29" s="288"/>
      <c r="P29" s="299"/>
      <c r="Q29" s="292"/>
      <c r="R29" s="302"/>
      <c r="S29" s="288"/>
      <c r="T29" s="299"/>
      <c r="U29" s="292"/>
      <c r="V29" s="302"/>
      <c r="X29" s="130"/>
      <c r="Y29" s="130"/>
      <c r="Z29" s="130"/>
      <c r="AA29" s="130"/>
      <c r="AD29" s="294"/>
      <c r="AE29" s="294"/>
      <c r="AF29" s="294"/>
    </row>
    <row r="30" spans="1:32" ht="16" thickBot="1">
      <c r="A30" s="283"/>
      <c r="B30" s="284"/>
      <c r="C30" s="284"/>
      <c r="D30" s="136" t="s">
        <v>106</v>
      </c>
      <c r="E30" s="124"/>
      <c r="F30" s="124"/>
      <c r="G30" s="285" t="s">
        <v>147</v>
      </c>
      <c r="H30" s="286"/>
      <c r="I30" s="124"/>
      <c r="J30" s="124"/>
      <c r="K30" s="289"/>
      <c r="L30" s="290"/>
      <c r="M30" s="293"/>
      <c r="N30" s="297"/>
      <c r="O30" s="288"/>
      <c r="P30" s="299"/>
      <c r="Q30" s="292"/>
      <c r="R30" s="302"/>
      <c r="S30" s="288"/>
      <c r="T30" s="299"/>
      <c r="U30" s="292"/>
      <c r="V30" s="302"/>
      <c r="X30" s="130"/>
      <c r="Y30" s="130"/>
      <c r="Z30" s="130"/>
      <c r="AA30" s="130"/>
      <c r="AD30" s="294"/>
      <c r="AE30" s="294"/>
      <c r="AF30" s="294"/>
    </row>
    <row r="31" spans="1:32" ht="16" thickBot="1">
      <c r="A31" s="283"/>
      <c r="B31" s="284"/>
      <c r="C31" s="284" t="s">
        <v>148</v>
      </c>
      <c r="D31" s="116" t="s">
        <v>149</v>
      </c>
      <c r="E31" s="122">
        <f>VLOOKUP(D31,履修状況!$A$4:$AH$60,21,FALSE)</f>
        <v>45</v>
      </c>
      <c r="F31" s="123">
        <f>VLOOKUP(D31,履修状況!$A$4:$AH$60,29,FALSE)</f>
        <v>0</v>
      </c>
      <c r="G31" s="285" t="s">
        <v>150</v>
      </c>
      <c r="H31" s="286"/>
      <c r="I31" s="124"/>
      <c r="J31" s="124"/>
      <c r="K31" s="287">
        <f>L31-AD31</f>
        <v>-5</v>
      </c>
      <c r="L31" s="290">
        <f>SUM(E31:E38,I31:I38)</f>
        <v>55</v>
      </c>
      <c r="M31" s="291">
        <f>N31-AD31</f>
        <v>40</v>
      </c>
      <c r="N31" s="297">
        <f>SUM(F31:F38,J31:J38,L31)</f>
        <v>100</v>
      </c>
      <c r="O31" s="288"/>
      <c r="P31" s="299"/>
      <c r="Q31" s="292"/>
      <c r="R31" s="302"/>
      <c r="S31" s="288"/>
      <c r="T31" s="299"/>
      <c r="U31" s="292"/>
      <c r="V31" s="302"/>
      <c r="X31" s="130"/>
      <c r="Y31" s="130"/>
      <c r="Z31" s="130"/>
      <c r="AA31" s="130"/>
      <c r="AD31" s="294">
        <f>基準表!F8</f>
        <v>60</v>
      </c>
      <c r="AE31" s="294"/>
      <c r="AF31" s="294"/>
    </row>
    <row r="32" spans="1:32" ht="16" thickBot="1">
      <c r="A32" s="283"/>
      <c r="B32" s="284"/>
      <c r="C32" s="284"/>
      <c r="D32" s="116" t="s">
        <v>151</v>
      </c>
      <c r="E32" s="122">
        <f>VLOOKUP(D32,履修状況!$A$4:$AH$60,21,FALSE)</f>
        <v>0</v>
      </c>
      <c r="F32" s="123">
        <f>VLOOKUP(D32,履修状況!$A$4:$AH$60,29,FALSE)</f>
        <v>45</v>
      </c>
      <c r="G32" s="304"/>
      <c r="H32" s="305"/>
      <c r="I32" s="124"/>
      <c r="J32" s="124"/>
      <c r="K32" s="288"/>
      <c r="L32" s="290"/>
      <c r="M32" s="292"/>
      <c r="N32" s="297"/>
      <c r="O32" s="288"/>
      <c r="P32" s="299"/>
      <c r="Q32" s="292"/>
      <c r="R32" s="302"/>
      <c r="S32" s="288"/>
      <c r="T32" s="299"/>
      <c r="U32" s="292"/>
      <c r="V32" s="302"/>
      <c r="X32" s="130"/>
      <c r="Y32" s="130"/>
      <c r="Z32" s="130"/>
      <c r="AA32" s="130"/>
      <c r="AD32" s="294"/>
      <c r="AE32" s="294"/>
      <c r="AF32" s="294"/>
    </row>
    <row r="33" spans="1:32" ht="16" thickBot="1">
      <c r="A33" s="283"/>
      <c r="B33" s="284"/>
      <c r="C33" s="284"/>
      <c r="D33" s="116" t="s">
        <v>152</v>
      </c>
      <c r="E33" s="122">
        <f>VLOOKUP(D33,履修状況!$A$4:$AH$60,21,FALSE)</f>
        <v>10</v>
      </c>
      <c r="F33" s="123">
        <f>VLOOKUP(D33,履修状況!$A$4:$AH$60,29,FALSE)</f>
        <v>0</v>
      </c>
      <c r="G33" s="304"/>
      <c r="H33" s="305"/>
      <c r="I33" s="124"/>
      <c r="J33" s="124"/>
      <c r="K33" s="288"/>
      <c r="L33" s="290"/>
      <c r="M33" s="292"/>
      <c r="N33" s="297"/>
      <c r="O33" s="288"/>
      <c r="P33" s="299"/>
      <c r="Q33" s="292"/>
      <c r="R33" s="302"/>
      <c r="S33" s="288"/>
      <c r="T33" s="299"/>
      <c r="U33" s="292"/>
      <c r="V33" s="302"/>
      <c r="X33" s="130"/>
      <c r="Y33" s="130"/>
      <c r="Z33" s="130"/>
      <c r="AA33" s="130"/>
      <c r="AD33" s="294"/>
      <c r="AE33" s="294"/>
      <c r="AF33" s="294"/>
    </row>
    <row r="34" spans="1:32" ht="15" thickBot="1">
      <c r="A34" s="283"/>
      <c r="B34" s="284"/>
      <c r="C34" s="284"/>
      <c r="D34" s="146" t="s">
        <v>34</v>
      </c>
      <c r="E34" s="122">
        <f>VLOOKUP(D34,履修状況!$A$4:$AH$60,21,FALSE)</f>
        <v>0</v>
      </c>
      <c r="F34" s="123">
        <f>VLOOKUP(D34,履修状況!$A$4:$AH$60,29,FALSE)</f>
        <v>0</v>
      </c>
      <c r="G34" s="304"/>
      <c r="H34" s="305"/>
      <c r="I34" s="124"/>
      <c r="J34" s="124"/>
      <c r="K34" s="288"/>
      <c r="L34" s="290"/>
      <c r="M34" s="292"/>
      <c r="N34" s="297"/>
      <c r="O34" s="288"/>
      <c r="P34" s="299"/>
      <c r="Q34" s="292"/>
      <c r="R34" s="302"/>
      <c r="S34" s="288"/>
      <c r="T34" s="299"/>
      <c r="U34" s="292"/>
      <c r="V34" s="302"/>
      <c r="X34" s="130"/>
      <c r="Y34" s="130"/>
      <c r="Z34" s="130"/>
      <c r="AA34" s="130"/>
      <c r="AD34" s="294"/>
      <c r="AE34" s="294"/>
      <c r="AF34" s="294"/>
    </row>
    <row r="35" spans="1:32" ht="15" thickBot="1">
      <c r="A35" s="283"/>
      <c r="B35" s="284"/>
      <c r="C35" s="284"/>
      <c r="D35" s="146" t="s">
        <v>38</v>
      </c>
      <c r="E35" s="122">
        <f>VLOOKUP(D35,履修状況!$A$4:$AH$60,21,FALSE)</f>
        <v>0</v>
      </c>
      <c r="F35" s="123">
        <f>VLOOKUP(D35,履修状況!$A$4:$AH$60,29,FALSE)</f>
        <v>0</v>
      </c>
      <c r="G35" s="304"/>
      <c r="H35" s="305"/>
      <c r="I35" s="124"/>
      <c r="J35" s="124"/>
      <c r="K35" s="288"/>
      <c r="L35" s="290"/>
      <c r="M35" s="292"/>
      <c r="N35" s="297"/>
      <c r="O35" s="288"/>
      <c r="P35" s="299"/>
      <c r="Q35" s="292"/>
      <c r="R35" s="302"/>
      <c r="S35" s="288"/>
      <c r="T35" s="299"/>
      <c r="U35" s="292"/>
      <c r="V35" s="302"/>
      <c r="X35" s="130"/>
      <c r="Y35" s="130"/>
      <c r="Z35" s="130"/>
      <c r="AA35" s="130"/>
      <c r="AD35" s="294"/>
      <c r="AE35" s="294"/>
      <c r="AF35" s="294"/>
    </row>
    <row r="36" spans="1:32" ht="15" thickBot="1">
      <c r="A36" s="283"/>
      <c r="B36" s="284"/>
      <c r="C36" s="284"/>
      <c r="D36" s="146" t="s">
        <v>39</v>
      </c>
      <c r="E36" s="122">
        <f>VLOOKUP(D36,履修状況!$A$4:$AH$60,21,FALSE)</f>
        <v>0</v>
      </c>
      <c r="F36" s="123">
        <f>VLOOKUP(D36,履修状況!$A$4:$AH$60,29,FALSE)</f>
        <v>0</v>
      </c>
      <c r="G36" s="304"/>
      <c r="H36" s="305"/>
      <c r="I36" s="124"/>
      <c r="J36" s="124"/>
      <c r="K36" s="288"/>
      <c r="L36" s="290"/>
      <c r="M36" s="292"/>
      <c r="N36" s="297"/>
      <c r="O36" s="288"/>
      <c r="P36" s="299"/>
      <c r="Q36" s="292"/>
      <c r="R36" s="302"/>
      <c r="S36" s="288"/>
      <c r="T36" s="299"/>
      <c r="U36" s="292"/>
      <c r="V36" s="302"/>
      <c r="X36" s="130"/>
      <c r="Y36" s="130"/>
      <c r="Z36" s="130"/>
      <c r="AA36" s="130"/>
      <c r="AD36" s="294"/>
      <c r="AE36" s="294"/>
      <c r="AF36" s="294"/>
    </row>
    <row r="37" spans="1:32" ht="15" thickBot="1">
      <c r="A37" s="283"/>
      <c r="B37" s="284"/>
      <c r="C37" s="284"/>
      <c r="D37" s="146" t="s">
        <v>153</v>
      </c>
      <c r="E37" s="122">
        <f>VLOOKUP(D37,履修状況!$A$4:$AH$60,21,FALSE)</f>
        <v>0</v>
      </c>
      <c r="F37" s="123">
        <f>VLOOKUP(D37,履修状況!$A$4:$AH$60,29,FALSE)</f>
        <v>0</v>
      </c>
      <c r="G37" s="304"/>
      <c r="H37" s="305"/>
      <c r="I37" s="124"/>
      <c r="J37" s="124"/>
      <c r="K37" s="288"/>
      <c r="L37" s="290"/>
      <c r="M37" s="292"/>
      <c r="N37" s="297"/>
      <c r="O37" s="288"/>
      <c r="P37" s="299"/>
      <c r="Q37" s="292"/>
      <c r="R37" s="302"/>
      <c r="S37" s="288"/>
      <c r="T37" s="299"/>
      <c r="U37" s="292"/>
      <c r="V37" s="302"/>
      <c r="X37" s="130"/>
      <c r="Y37" s="130"/>
      <c r="Z37" s="130"/>
      <c r="AA37" s="130"/>
      <c r="AD37" s="294"/>
      <c r="AE37" s="294"/>
      <c r="AF37" s="294"/>
    </row>
    <row r="38" spans="1:32" ht="16" thickBot="1">
      <c r="A38" s="283"/>
      <c r="B38" s="284"/>
      <c r="C38" s="284"/>
      <c r="D38" s="136" t="s">
        <v>106</v>
      </c>
      <c r="E38" s="124"/>
      <c r="F38" s="124"/>
      <c r="G38" s="304"/>
      <c r="H38" s="305"/>
      <c r="I38" s="124"/>
      <c r="J38" s="124"/>
      <c r="K38" s="289"/>
      <c r="L38" s="290"/>
      <c r="M38" s="293"/>
      <c r="N38" s="297"/>
      <c r="O38" s="289"/>
      <c r="P38" s="300"/>
      <c r="Q38" s="293"/>
      <c r="R38" s="303"/>
      <c r="S38" s="288"/>
      <c r="T38" s="299"/>
      <c r="U38" s="292"/>
      <c r="V38" s="302"/>
      <c r="X38" s="130"/>
      <c r="Y38" s="130"/>
      <c r="Z38" s="130"/>
      <c r="AA38" s="130"/>
      <c r="AD38" s="294"/>
      <c r="AE38" s="294"/>
      <c r="AF38" s="294"/>
    </row>
    <row r="39" spans="1:32" ht="13.5" customHeight="1" thickBot="1">
      <c r="A39" s="283"/>
      <c r="B39" s="284" t="s">
        <v>154</v>
      </c>
      <c r="C39" s="284" t="s">
        <v>155</v>
      </c>
      <c r="D39" s="116" t="s">
        <v>99</v>
      </c>
      <c r="E39" s="122">
        <f>VLOOKUP(D39,履修状況!$A$4:$AH$60,22,FALSE)</f>
        <v>30</v>
      </c>
      <c r="F39" s="123">
        <f>VLOOKUP(D39,履修状況!$A$4:$AH$60,30,FALSE)</f>
        <v>0</v>
      </c>
      <c r="G39" s="285" t="s">
        <v>156</v>
      </c>
      <c r="H39" s="286"/>
      <c r="I39" s="124"/>
      <c r="J39" s="124"/>
      <c r="K39" s="287">
        <f>L39-AD39</f>
        <v>-30</v>
      </c>
      <c r="L39" s="290">
        <f>SUM(E39:E44,I39:I44)</f>
        <v>30</v>
      </c>
      <c r="M39" s="291">
        <f>N39-AD39</f>
        <v>0</v>
      </c>
      <c r="N39" s="297">
        <f>SUM(F39:F44,J39:J44,L39)</f>
        <v>60</v>
      </c>
      <c r="O39" s="287">
        <f>MIN(K39,K45,P39-AE39)</f>
        <v>-70</v>
      </c>
      <c r="P39" s="298">
        <f>L39+L45</f>
        <v>60</v>
      </c>
      <c r="Q39" s="291">
        <f>MIN(M39,M45,R39-AE39)</f>
        <v>-10</v>
      </c>
      <c r="R39" s="301">
        <f>N39+N45</f>
        <v>120</v>
      </c>
      <c r="S39" s="288"/>
      <c r="T39" s="299"/>
      <c r="U39" s="292"/>
      <c r="V39" s="302"/>
      <c r="X39" s="130"/>
      <c r="Y39" s="130"/>
      <c r="Z39" s="130"/>
      <c r="AA39" s="130"/>
      <c r="AD39" s="294">
        <f>基準表!F9</f>
        <v>60</v>
      </c>
      <c r="AE39" s="294">
        <f>基準表!G9</f>
        <v>130</v>
      </c>
      <c r="AF39" s="294"/>
    </row>
    <row r="40" spans="1:32" ht="16" thickBot="1">
      <c r="A40" s="283"/>
      <c r="B40" s="284"/>
      <c r="C40" s="284"/>
      <c r="D40" s="116" t="s">
        <v>132</v>
      </c>
      <c r="E40" s="122">
        <f>VLOOKUP(D40,履修状況!$A$4:$AH$60,22,FALSE)</f>
        <v>0</v>
      </c>
      <c r="F40" s="123">
        <f>VLOOKUP(D40,履修状況!$A$4:$AH$60,30,FALSE)</f>
        <v>30</v>
      </c>
      <c r="G40" s="285" t="s">
        <v>157</v>
      </c>
      <c r="H40" s="286"/>
      <c r="I40" s="124"/>
      <c r="J40" s="124"/>
      <c r="K40" s="288"/>
      <c r="L40" s="290"/>
      <c r="M40" s="292"/>
      <c r="N40" s="297"/>
      <c r="O40" s="288"/>
      <c r="P40" s="299"/>
      <c r="Q40" s="292"/>
      <c r="R40" s="302"/>
      <c r="S40" s="288"/>
      <c r="T40" s="299"/>
      <c r="U40" s="292"/>
      <c r="V40" s="302"/>
      <c r="X40" s="130"/>
      <c r="Y40" s="130"/>
      <c r="Z40" s="130"/>
      <c r="AA40" s="130"/>
      <c r="AD40" s="294"/>
      <c r="AE40" s="294"/>
      <c r="AF40" s="294"/>
    </row>
    <row r="41" spans="1:32" ht="15" thickBot="1">
      <c r="A41" s="283"/>
      <c r="B41" s="284"/>
      <c r="C41" s="284"/>
      <c r="D41" s="146" t="s">
        <v>61</v>
      </c>
      <c r="E41" s="122">
        <f>VLOOKUP(D41,履修状況!$A$4:$AH$60,22,FALSE)</f>
        <v>0</v>
      </c>
      <c r="F41" s="123">
        <f>VLOOKUP(D41,履修状況!$A$4:$AH$60,30,FALSE)</f>
        <v>0</v>
      </c>
      <c r="G41" s="304"/>
      <c r="H41" s="305"/>
      <c r="I41" s="124"/>
      <c r="J41" s="124"/>
      <c r="K41" s="288"/>
      <c r="L41" s="290"/>
      <c r="M41" s="292"/>
      <c r="N41" s="297"/>
      <c r="O41" s="288"/>
      <c r="P41" s="299"/>
      <c r="Q41" s="292"/>
      <c r="R41" s="302"/>
      <c r="S41" s="288"/>
      <c r="T41" s="299"/>
      <c r="U41" s="292"/>
      <c r="V41" s="302"/>
      <c r="X41" s="130"/>
      <c r="Y41" s="130"/>
      <c r="Z41" s="130"/>
      <c r="AA41" s="130"/>
      <c r="AD41" s="294"/>
      <c r="AE41" s="294"/>
      <c r="AF41" s="294"/>
    </row>
    <row r="42" spans="1:32" ht="15" thickBot="1">
      <c r="A42" s="283"/>
      <c r="B42" s="284"/>
      <c r="C42" s="284"/>
      <c r="D42" s="146" t="s">
        <v>141</v>
      </c>
      <c r="E42" s="122">
        <f>VLOOKUP(D42,履修状況!$A$4:$AH$60,22,FALSE)</f>
        <v>0</v>
      </c>
      <c r="F42" s="123">
        <f>VLOOKUP(D42,履修状況!$A$4:$AH$60,30,FALSE)</f>
        <v>0</v>
      </c>
      <c r="G42" s="304"/>
      <c r="H42" s="305"/>
      <c r="I42" s="124"/>
      <c r="J42" s="124"/>
      <c r="K42" s="288"/>
      <c r="L42" s="290"/>
      <c r="M42" s="292"/>
      <c r="N42" s="297"/>
      <c r="O42" s="288"/>
      <c r="P42" s="299"/>
      <c r="Q42" s="292"/>
      <c r="R42" s="302"/>
      <c r="S42" s="288"/>
      <c r="T42" s="299"/>
      <c r="U42" s="292"/>
      <c r="V42" s="302"/>
      <c r="X42" s="130"/>
      <c r="Y42" s="130"/>
      <c r="Z42" s="130"/>
      <c r="AA42" s="130"/>
      <c r="AD42" s="294"/>
      <c r="AE42" s="294"/>
      <c r="AF42" s="294"/>
    </row>
    <row r="43" spans="1:32" ht="15" thickBot="1">
      <c r="A43" s="283"/>
      <c r="B43" s="284"/>
      <c r="C43" s="284"/>
      <c r="D43" s="146" t="s">
        <v>158</v>
      </c>
      <c r="E43" s="122">
        <f>VLOOKUP(D43,履修状況!$A$4:$AH$60,22,FALSE)</f>
        <v>0</v>
      </c>
      <c r="F43" s="123">
        <f>VLOOKUP(D43,履修状況!$A$4:$AH$60,30,FALSE)</f>
        <v>0</v>
      </c>
      <c r="G43" s="304"/>
      <c r="H43" s="305"/>
      <c r="I43" s="124"/>
      <c r="J43" s="124"/>
      <c r="K43" s="288"/>
      <c r="L43" s="290"/>
      <c r="M43" s="292"/>
      <c r="N43" s="297"/>
      <c r="O43" s="288"/>
      <c r="P43" s="299"/>
      <c r="Q43" s="292"/>
      <c r="R43" s="302"/>
      <c r="S43" s="288"/>
      <c r="T43" s="299"/>
      <c r="U43" s="292"/>
      <c r="V43" s="302"/>
      <c r="X43" s="130"/>
      <c r="Y43" s="130"/>
      <c r="Z43" s="130"/>
      <c r="AA43" s="130"/>
      <c r="AD43" s="294"/>
      <c r="AE43" s="294"/>
      <c r="AF43" s="294"/>
    </row>
    <row r="44" spans="1:32" ht="16" thickBot="1">
      <c r="A44" s="283"/>
      <c r="B44" s="284"/>
      <c r="C44" s="284"/>
      <c r="D44" s="136" t="s">
        <v>106</v>
      </c>
      <c r="E44" s="124"/>
      <c r="F44" s="124"/>
      <c r="G44" s="304"/>
      <c r="H44" s="305"/>
      <c r="I44" s="124"/>
      <c r="J44" s="124"/>
      <c r="K44" s="289"/>
      <c r="L44" s="290"/>
      <c r="M44" s="293"/>
      <c r="N44" s="297"/>
      <c r="O44" s="288"/>
      <c r="P44" s="299"/>
      <c r="Q44" s="292"/>
      <c r="R44" s="302"/>
      <c r="S44" s="288"/>
      <c r="T44" s="299"/>
      <c r="U44" s="292"/>
      <c r="V44" s="302"/>
      <c r="X44" s="130"/>
      <c r="Y44" s="130"/>
      <c r="Z44" s="130"/>
      <c r="AA44" s="130"/>
      <c r="AD44" s="294"/>
      <c r="AE44" s="294"/>
      <c r="AF44" s="294"/>
    </row>
    <row r="45" spans="1:32" ht="16" thickBot="1">
      <c r="A45" s="283"/>
      <c r="B45" s="284"/>
      <c r="C45" s="284" t="s">
        <v>159</v>
      </c>
      <c r="D45" s="116" t="s">
        <v>149</v>
      </c>
      <c r="E45" s="122">
        <f>VLOOKUP(D45,履修状況!$A$4:$AH$60,22,FALSE)</f>
        <v>30</v>
      </c>
      <c r="F45" s="123">
        <f>VLOOKUP(D45,履修状況!$A$4:$AH$60,30,FALSE)</f>
        <v>0</v>
      </c>
      <c r="G45" s="285" t="s">
        <v>160</v>
      </c>
      <c r="H45" s="286"/>
      <c r="I45" s="124"/>
      <c r="J45" s="124"/>
      <c r="K45" s="287">
        <f>L45-AD45</f>
        <v>-30</v>
      </c>
      <c r="L45" s="290">
        <f>SUM(E45:E51,I45:I51)</f>
        <v>30</v>
      </c>
      <c r="M45" s="291">
        <f>N45-AD45</f>
        <v>0</v>
      </c>
      <c r="N45" s="297">
        <f>SUM(F45:F51,J45:J51,L45)</f>
        <v>60</v>
      </c>
      <c r="O45" s="288"/>
      <c r="P45" s="299"/>
      <c r="Q45" s="292"/>
      <c r="R45" s="302"/>
      <c r="S45" s="288"/>
      <c r="T45" s="299"/>
      <c r="U45" s="292"/>
      <c r="V45" s="302"/>
      <c r="X45" s="130"/>
      <c r="Y45" s="130"/>
      <c r="Z45" s="130"/>
      <c r="AA45" s="130"/>
      <c r="AD45" s="294">
        <f>基準表!F10</f>
        <v>60</v>
      </c>
      <c r="AE45" s="294"/>
      <c r="AF45" s="294"/>
    </row>
    <row r="46" spans="1:32" ht="16" thickBot="1">
      <c r="A46" s="283"/>
      <c r="B46" s="284"/>
      <c r="C46" s="284"/>
      <c r="D46" s="116" t="s">
        <v>135</v>
      </c>
      <c r="E46" s="122">
        <f>VLOOKUP(D46,履修状況!$A$4:$AH$60,22,FALSE)</f>
        <v>0</v>
      </c>
      <c r="F46" s="123">
        <f>VLOOKUP(D46,履修状況!$A$4:$AH$60,30,FALSE)</f>
        <v>30</v>
      </c>
      <c r="G46" s="285" t="s">
        <v>157</v>
      </c>
      <c r="H46" s="286"/>
      <c r="I46" s="124"/>
      <c r="J46" s="124"/>
      <c r="K46" s="288"/>
      <c r="L46" s="290"/>
      <c r="M46" s="292"/>
      <c r="N46" s="297"/>
      <c r="O46" s="288"/>
      <c r="P46" s="299"/>
      <c r="Q46" s="292"/>
      <c r="R46" s="302"/>
      <c r="S46" s="288"/>
      <c r="T46" s="299"/>
      <c r="U46" s="292"/>
      <c r="V46" s="302"/>
      <c r="X46" s="130"/>
      <c r="Y46" s="130"/>
      <c r="Z46" s="130"/>
      <c r="AA46" s="130"/>
      <c r="AD46" s="294"/>
      <c r="AE46" s="294"/>
      <c r="AF46" s="294"/>
    </row>
    <row r="47" spans="1:32" ht="16" thickBot="1">
      <c r="A47" s="283"/>
      <c r="B47" s="284"/>
      <c r="C47" s="284"/>
      <c r="D47" s="116" t="s">
        <v>137</v>
      </c>
      <c r="E47" s="122">
        <f>VLOOKUP(D47,履修状況!$A$4:$AH$60,22,FALSE)</f>
        <v>0</v>
      </c>
      <c r="F47" s="123">
        <f>VLOOKUP(D47,履修状況!$A$4:$AH$60,30,FALSE)</f>
        <v>0</v>
      </c>
      <c r="G47" s="304"/>
      <c r="H47" s="305"/>
      <c r="I47" s="124"/>
      <c r="J47" s="124"/>
      <c r="K47" s="288"/>
      <c r="L47" s="290"/>
      <c r="M47" s="292"/>
      <c r="N47" s="297"/>
      <c r="O47" s="288"/>
      <c r="P47" s="299"/>
      <c r="Q47" s="292"/>
      <c r="R47" s="302"/>
      <c r="S47" s="288"/>
      <c r="T47" s="299"/>
      <c r="U47" s="292"/>
      <c r="V47" s="302"/>
      <c r="X47" s="130"/>
      <c r="Y47" s="130"/>
      <c r="Z47" s="130"/>
      <c r="AA47" s="130"/>
      <c r="AD47" s="294"/>
      <c r="AE47" s="294"/>
      <c r="AF47" s="294"/>
    </row>
    <row r="48" spans="1:32" ht="16" thickBot="1">
      <c r="A48" s="283"/>
      <c r="B48" s="284"/>
      <c r="C48" s="284"/>
      <c r="D48" s="116" t="s">
        <v>121</v>
      </c>
      <c r="E48" s="122">
        <f>VLOOKUP(D48,履修状況!$A$4:$AH$60,22,FALSE)</f>
        <v>0</v>
      </c>
      <c r="F48" s="123">
        <f>VLOOKUP(D48,履修状況!$A$4:$AH$60,30,FALSE)</f>
        <v>0</v>
      </c>
      <c r="G48" s="304"/>
      <c r="H48" s="305"/>
      <c r="I48" s="124"/>
      <c r="J48" s="124"/>
      <c r="K48" s="288"/>
      <c r="L48" s="290"/>
      <c r="M48" s="292"/>
      <c r="N48" s="297"/>
      <c r="O48" s="288"/>
      <c r="P48" s="299"/>
      <c r="Q48" s="292"/>
      <c r="R48" s="302"/>
      <c r="S48" s="288"/>
      <c r="T48" s="299"/>
      <c r="U48" s="292"/>
      <c r="V48" s="302"/>
      <c r="X48" s="130"/>
      <c r="Y48" s="130"/>
      <c r="Z48" s="130"/>
      <c r="AA48" s="130"/>
      <c r="AD48" s="294"/>
      <c r="AE48" s="294"/>
      <c r="AF48" s="294"/>
    </row>
    <row r="49" spans="1:32" ht="16" thickBot="1">
      <c r="A49" s="283"/>
      <c r="B49" s="284"/>
      <c r="C49" s="284"/>
      <c r="D49" s="116" t="s">
        <v>139</v>
      </c>
      <c r="E49" s="122">
        <f>VLOOKUP(D49,履修状況!$A$4:$AH$60,22,FALSE)</f>
        <v>0</v>
      </c>
      <c r="F49" s="123">
        <f>VLOOKUP(D49,履修状況!$A$4:$AH$60,30,FALSE)</f>
        <v>0</v>
      </c>
      <c r="G49" s="304"/>
      <c r="H49" s="305"/>
      <c r="I49" s="124"/>
      <c r="J49" s="124"/>
      <c r="K49" s="288"/>
      <c r="L49" s="290"/>
      <c r="M49" s="292"/>
      <c r="N49" s="297"/>
      <c r="O49" s="288"/>
      <c r="P49" s="299"/>
      <c r="Q49" s="292"/>
      <c r="R49" s="302"/>
      <c r="S49" s="288"/>
      <c r="T49" s="299"/>
      <c r="U49" s="292"/>
      <c r="V49" s="302"/>
      <c r="X49" s="130"/>
      <c r="Y49" s="130"/>
      <c r="Z49" s="130"/>
      <c r="AA49" s="130"/>
      <c r="AD49" s="294"/>
      <c r="AE49" s="294"/>
      <c r="AF49" s="294"/>
    </row>
    <row r="50" spans="1:32" ht="16" thickBot="1">
      <c r="A50" s="283"/>
      <c r="B50" s="284"/>
      <c r="C50" s="284"/>
      <c r="D50" s="116" t="s">
        <v>125</v>
      </c>
      <c r="E50" s="122">
        <f>VLOOKUP(D50,履修状況!$A$4:$AH$60,22,FALSE)</f>
        <v>0</v>
      </c>
      <c r="F50" s="123">
        <f>VLOOKUP(D50,履修状況!$A$4:$AH$60,30,FALSE)</f>
        <v>0</v>
      </c>
      <c r="G50" s="304"/>
      <c r="H50" s="305"/>
      <c r="I50" s="124"/>
      <c r="J50" s="124"/>
      <c r="K50" s="288"/>
      <c r="L50" s="290"/>
      <c r="M50" s="292"/>
      <c r="N50" s="297"/>
      <c r="O50" s="288"/>
      <c r="P50" s="299"/>
      <c r="Q50" s="292"/>
      <c r="R50" s="302"/>
      <c r="S50" s="288"/>
      <c r="T50" s="299"/>
      <c r="U50" s="292"/>
      <c r="V50" s="302"/>
      <c r="X50" s="130"/>
      <c r="Y50" s="130"/>
      <c r="Z50" s="130"/>
      <c r="AA50" s="130"/>
      <c r="AD50" s="294"/>
      <c r="AE50" s="294"/>
      <c r="AF50" s="294"/>
    </row>
    <row r="51" spans="1:32" ht="16" thickBot="1">
      <c r="A51" s="283"/>
      <c r="B51" s="284"/>
      <c r="C51" s="284"/>
      <c r="D51" s="136" t="s">
        <v>106</v>
      </c>
      <c r="E51" s="124"/>
      <c r="F51" s="124"/>
      <c r="G51" s="304"/>
      <c r="H51" s="305"/>
      <c r="I51" s="124"/>
      <c r="J51" s="124"/>
      <c r="K51" s="289"/>
      <c r="L51" s="290"/>
      <c r="M51" s="293"/>
      <c r="N51" s="297"/>
      <c r="O51" s="289"/>
      <c r="P51" s="300"/>
      <c r="Q51" s="293"/>
      <c r="R51" s="303"/>
      <c r="S51" s="288"/>
      <c r="T51" s="299"/>
      <c r="U51" s="292"/>
      <c r="V51" s="302"/>
      <c r="X51" s="130"/>
      <c r="Y51" s="130"/>
      <c r="Z51" s="130"/>
      <c r="AA51" s="130"/>
      <c r="AD51" s="294"/>
      <c r="AE51" s="294"/>
      <c r="AF51" s="294"/>
    </row>
    <row r="52" spans="1:32" ht="16" thickBot="1">
      <c r="A52" s="283"/>
      <c r="B52" s="284" t="s">
        <v>161</v>
      </c>
      <c r="C52" s="284" t="s">
        <v>162</v>
      </c>
      <c r="D52" s="116" t="s">
        <v>99</v>
      </c>
      <c r="E52" s="122">
        <f>VLOOKUP(D52,履修状況!$A$4:$AH$60,23,FALSE)</f>
        <v>30</v>
      </c>
      <c r="F52" s="123">
        <f>VLOOKUP(D52,履修状況!$A$4:$AH$60,31,FALSE)</f>
        <v>0</v>
      </c>
      <c r="G52" s="285" t="s">
        <v>163</v>
      </c>
      <c r="H52" s="286"/>
      <c r="I52" s="124"/>
      <c r="J52" s="124"/>
      <c r="K52" s="287">
        <f>L52-AD52</f>
        <v>-30</v>
      </c>
      <c r="L52" s="290">
        <f>SUM(E52:E54,I52:I54)</f>
        <v>30</v>
      </c>
      <c r="M52" s="291">
        <f>N52-AD52</f>
        <v>0</v>
      </c>
      <c r="N52" s="297">
        <f>SUM(F52:F54,J52:J54,L52)</f>
        <v>60</v>
      </c>
      <c r="O52" s="287">
        <f>P52-AE52</f>
        <v>0</v>
      </c>
      <c r="P52" s="298">
        <f>L52+L55</f>
        <v>130</v>
      </c>
      <c r="Q52" s="291">
        <f>MIN(M52,M55,R52-AE52)</f>
        <v>0</v>
      </c>
      <c r="R52" s="301">
        <f>N52+N55</f>
        <v>160</v>
      </c>
      <c r="S52" s="288"/>
      <c r="T52" s="299"/>
      <c r="U52" s="292"/>
      <c r="V52" s="302"/>
      <c r="X52" s="130"/>
      <c r="Y52" s="130"/>
      <c r="Z52" s="130"/>
      <c r="AA52" s="130"/>
      <c r="AD52" s="294">
        <f>基準表!F11</f>
        <v>60</v>
      </c>
      <c r="AE52" s="294">
        <f>基準表!G11</f>
        <v>130</v>
      </c>
      <c r="AF52" s="294"/>
    </row>
    <row r="53" spans="1:32" ht="16" thickBot="1">
      <c r="A53" s="283"/>
      <c r="B53" s="284"/>
      <c r="C53" s="284"/>
      <c r="D53" s="116" t="s">
        <v>164</v>
      </c>
      <c r="E53" s="122">
        <f>VLOOKUP(D53,履修状況!$A$4:$AH$60,23,FALSE)</f>
        <v>0</v>
      </c>
      <c r="F53" s="123">
        <f>VLOOKUP(D53,履修状況!$A$4:$AH$60,31,FALSE)</f>
        <v>30</v>
      </c>
      <c r="G53" s="285" t="s">
        <v>165</v>
      </c>
      <c r="H53" s="286"/>
      <c r="I53" s="124"/>
      <c r="J53" s="124"/>
      <c r="K53" s="288"/>
      <c r="L53" s="290"/>
      <c r="M53" s="292"/>
      <c r="N53" s="297"/>
      <c r="O53" s="288"/>
      <c r="P53" s="299"/>
      <c r="Q53" s="292"/>
      <c r="R53" s="302"/>
      <c r="S53" s="288"/>
      <c r="T53" s="299"/>
      <c r="U53" s="292"/>
      <c r="V53" s="302"/>
      <c r="X53" s="131"/>
      <c r="Y53" s="131"/>
      <c r="Z53" s="131"/>
      <c r="AA53" s="131"/>
      <c r="AD53" s="294"/>
      <c r="AE53" s="294"/>
      <c r="AF53" s="294"/>
    </row>
    <row r="54" spans="1:32" ht="16" thickBot="1">
      <c r="A54" s="283"/>
      <c r="B54" s="284"/>
      <c r="C54" s="284"/>
      <c r="D54" s="136" t="s">
        <v>106</v>
      </c>
      <c r="E54" s="124"/>
      <c r="F54" s="124"/>
      <c r="G54" s="285" t="s">
        <v>166</v>
      </c>
      <c r="H54" s="286"/>
      <c r="I54" s="124"/>
      <c r="J54" s="124"/>
      <c r="K54" s="289"/>
      <c r="L54" s="290"/>
      <c r="M54" s="293"/>
      <c r="N54" s="297"/>
      <c r="O54" s="288"/>
      <c r="P54" s="299"/>
      <c r="Q54" s="292"/>
      <c r="R54" s="302"/>
      <c r="S54" s="288"/>
      <c r="T54" s="299"/>
      <c r="U54" s="292"/>
      <c r="V54" s="302"/>
      <c r="X54" s="131"/>
      <c r="Y54" s="131"/>
      <c r="Z54" s="131"/>
      <c r="AA54" s="131"/>
      <c r="AD54" s="294"/>
      <c r="AE54" s="294"/>
      <c r="AF54" s="294"/>
    </row>
    <row r="55" spans="1:32" ht="16" thickBot="1">
      <c r="A55" s="283"/>
      <c r="B55" s="284"/>
      <c r="C55" s="284" t="s">
        <v>167</v>
      </c>
      <c r="D55" s="147" t="s">
        <v>168</v>
      </c>
      <c r="E55" s="122">
        <f>VLOOKUP(D55,履修状況!$A$4:$AH$60,23,FALSE)</f>
        <v>100</v>
      </c>
      <c r="F55" s="123">
        <f>VLOOKUP(D55,履修状況!$A$4:$AH$60,31,FALSE)</f>
        <v>0</v>
      </c>
      <c r="G55" s="285" t="s">
        <v>169</v>
      </c>
      <c r="H55" s="286"/>
      <c r="I55" s="124"/>
      <c r="J55" s="124"/>
      <c r="K55" s="287">
        <f>L55-AD55</f>
        <v>40</v>
      </c>
      <c r="L55" s="290">
        <f>SUM(E55:E61,I55:I61)</f>
        <v>100</v>
      </c>
      <c r="M55" s="291">
        <f>N55-AD55</f>
        <v>40</v>
      </c>
      <c r="N55" s="297">
        <f>SUM(F55:F61,J55:J61,L55)</f>
        <v>100</v>
      </c>
      <c r="O55" s="288"/>
      <c r="P55" s="299"/>
      <c r="Q55" s="292"/>
      <c r="R55" s="302"/>
      <c r="S55" s="288"/>
      <c r="T55" s="299"/>
      <c r="U55" s="292"/>
      <c r="V55" s="302"/>
      <c r="X55" s="131"/>
      <c r="Y55" s="131"/>
      <c r="Z55" s="131"/>
      <c r="AA55" s="131"/>
      <c r="AD55" s="294">
        <f>基準表!F12</f>
        <v>60</v>
      </c>
      <c r="AE55" s="294"/>
      <c r="AF55" s="294"/>
    </row>
    <row r="56" spans="1:32" ht="16" thickBot="1">
      <c r="A56" s="283"/>
      <c r="B56" s="284"/>
      <c r="C56" s="284"/>
      <c r="D56" s="147" t="s">
        <v>170</v>
      </c>
      <c r="E56" s="122">
        <f>VLOOKUP(D56,履修状況!$A$4:$AH$60,23,FALSE)</f>
        <v>0</v>
      </c>
      <c r="F56" s="123">
        <f>VLOOKUP(D56,履修状況!$A$4:$AH$60,31,FALSE)</f>
        <v>0</v>
      </c>
      <c r="G56" s="304"/>
      <c r="H56" s="305"/>
      <c r="I56" s="124"/>
      <c r="J56" s="124"/>
      <c r="K56" s="288"/>
      <c r="L56" s="290"/>
      <c r="M56" s="292"/>
      <c r="N56" s="297"/>
      <c r="O56" s="288"/>
      <c r="P56" s="299"/>
      <c r="Q56" s="292"/>
      <c r="R56" s="302"/>
      <c r="S56" s="288"/>
      <c r="T56" s="299"/>
      <c r="U56" s="292"/>
      <c r="V56" s="302"/>
      <c r="X56" s="131"/>
      <c r="Y56" s="131"/>
      <c r="Z56" s="131"/>
      <c r="AA56" s="131"/>
      <c r="AD56" s="294"/>
      <c r="AE56" s="294"/>
      <c r="AF56" s="294"/>
    </row>
    <row r="57" spans="1:32" ht="31" thickBot="1">
      <c r="A57" s="283"/>
      <c r="B57" s="284"/>
      <c r="C57" s="284"/>
      <c r="D57" s="136" t="s">
        <v>171</v>
      </c>
      <c r="E57" s="124"/>
      <c r="F57" s="124"/>
      <c r="G57" s="148" t="s">
        <v>172</v>
      </c>
      <c r="H57" s="124"/>
      <c r="I57" s="149">
        <f>ROUND(MAX((H57-470)*20/130+40,0),0)</f>
        <v>0</v>
      </c>
      <c r="J57" s="150"/>
      <c r="K57" s="288"/>
      <c r="L57" s="290"/>
      <c r="M57" s="292"/>
      <c r="N57" s="297"/>
      <c r="O57" s="288"/>
      <c r="P57" s="299"/>
      <c r="Q57" s="292"/>
      <c r="R57" s="302"/>
      <c r="S57" s="288"/>
      <c r="T57" s="299"/>
      <c r="U57" s="292"/>
      <c r="V57" s="302"/>
      <c r="X57" s="131"/>
      <c r="Y57" s="131"/>
      <c r="Z57" s="131"/>
      <c r="AA57" s="131"/>
      <c r="AD57" s="294"/>
      <c r="AE57" s="294"/>
      <c r="AF57" s="294"/>
    </row>
    <row r="58" spans="1:32" ht="31" thickBot="1">
      <c r="A58" s="283"/>
      <c r="B58" s="284"/>
      <c r="C58" s="284"/>
      <c r="D58" s="136" t="s">
        <v>173</v>
      </c>
      <c r="E58" s="124"/>
      <c r="F58" s="124"/>
      <c r="G58" s="148"/>
      <c r="H58" s="151" t="s">
        <v>174</v>
      </c>
      <c r="I58" s="124"/>
      <c r="J58" s="124"/>
      <c r="K58" s="288"/>
      <c r="L58" s="290"/>
      <c r="M58" s="292"/>
      <c r="N58" s="297"/>
      <c r="O58" s="288"/>
      <c r="P58" s="299"/>
      <c r="Q58" s="292"/>
      <c r="R58" s="302"/>
      <c r="S58" s="288"/>
      <c r="T58" s="299"/>
      <c r="U58" s="292"/>
      <c r="V58" s="302"/>
      <c r="X58" s="131"/>
      <c r="Y58" s="131"/>
      <c r="Z58" s="131"/>
      <c r="AA58" s="131"/>
      <c r="AD58" s="294"/>
      <c r="AE58" s="294"/>
      <c r="AF58" s="294"/>
    </row>
    <row r="59" spans="1:32" ht="16" thickBot="1">
      <c r="A59" s="283"/>
      <c r="B59" s="284"/>
      <c r="C59" s="284"/>
      <c r="D59" s="152" t="s">
        <v>175</v>
      </c>
      <c r="E59" s="124"/>
      <c r="F59" s="124"/>
      <c r="G59" s="313" t="s">
        <v>176</v>
      </c>
      <c r="H59" s="314"/>
      <c r="I59" s="124"/>
      <c r="J59" s="124"/>
      <c r="K59" s="288"/>
      <c r="L59" s="290"/>
      <c r="M59" s="292"/>
      <c r="N59" s="297"/>
      <c r="O59" s="288"/>
      <c r="P59" s="299"/>
      <c r="Q59" s="292"/>
      <c r="R59" s="302"/>
      <c r="S59" s="288"/>
      <c r="T59" s="299"/>
      <c r="U59" s="292"/>
      <c r="V59" s="302"/>
      <c r="X59" s="131"/>
      <c r="Y59" s="131"/>
      <c r="Z59" s="131"/>
      <c r="AA59" s="131"/>
      <c r="AD59" s="294"/>
      <c r="AE59" s="294"/>
      <c r="AF59" s="294"/>
    </row>
    <row r="60" spans="1:32" ht="15" thickBot="1">
      <c r="A60" s="283"/>
      <c r="B60" s="284"/>
      <c r="C60" s="284"/>
      <c r="D60" s="146" t="s">
        <v>38</v>
      </c>
      <c r="E60" s="122">
        <f>VLOOKUP(D60,履修状況!$A$4:$AH$60,23,FALSE)</f>
        <v>0</v>
      </c>
      <c r="F60" s="123">
        <f>VLOOKUP(D60,履修状況!$A$4:$AH$60,31,FALSE)</f>
        <v>0</v>
      </c>
      <c r="G60" s="304"/>
      <c r="H60" s="305"/>
      <c r="I60" s="124"/>
      <c r="J60" s="124"/>
      <c r="K60" s="288"/>
      <c r="L60" s="290"/>
      <c r="M60" s="292"/>
      <c r="N60" s="297"/>
      <c r="O60" s="288"/>
      <c r="P60" s="299"/>
      <c r="Q60" s="292"/>
      <c r="R60" s="302"/>
      <c r="S60" s="288"/>
      <c r="T60" s="299"/>
      <c r="U60" s="292"/>
      <c r="V60" s="302"/>
      <c r="X60" s="131"/>
      <c r="Y60" s="131"/>
      <c r="Z60" s="131"/>
      <c r="AA60" s="131"/>
      <c r="AD60" s="294"/>
      <c r="AE60" s="294"/>
      <c r="AF60" s="294"/>
    </row>
    <row r="61" spans="1:32" ht="15" thickBot="1">
      <c r="A61" s="283"/>
      <c r="B61" s="284"/>
      <c r="C61" s="284"/>
      <c r="D61" s="146" t="s">
        <v>177</v>
      </c>
      <c r="E61" s="122">
        <f>VLOOKUP(D61,履修状況!$A$4:$AH$60,23,FALSE)</f>
        <v>0</v>
      </c>
      <c r="F61" s="123">
        <f>VLOOKUP(D61,履修状況!$A$4:$AH$60,31,FALSE)</f>
        <v>0</v>
      </c>
      <c r="G61" s="304"/>
      <c r="H61" s="305"/>
      <c r="I61" s="124"/>
      <c r="J61" s="124"/>
      <c r="K61" s="289"/>
      <c r="L61" s="290"/>
      <c r="M61" s="293"/>
      <c r="N61" s="297"/>
      <c r="O61" s="289"/>
      <c r="P61" s="300"/>
      <c r="Q61" s="293"/>
      <c r="R61" s="303"/>
      <c r="S61" s="289"/>
      <c r="T61" s="300"/>
      <c r="U61" s="293"/>
      <c r="V61" s="303"/>
      <c r="X61" s="131"/>
      <c r="Y61" s="131"/>
      <c r="Z61" s="131"/>
      <c r="AA61" s="131"/>
      <c r="AD61" s="294"/>
      <c r="AE61" s="294"/>
      <c r="AF61" s="294"/>
    </row>
    <row r="62" spans="1:32" ht="13.5" customHeight="1" thickBot="1">
      <c r="A62" s="315" t="s">
        <v>178</v>
      </c>
      <c r="B62" s="284" t="s">
        <v>179</v>
      </c>
      <c r="C62" s="284" t="s">
        <v>180</v>
      </c>
      <c r="D62" s="116" t="s">
        <v>181</v>
      </c>
      <c r="E62" s="122">
        <f>VLOOKUP(D62,履修状況!$A$4:$AH$60,24,FALSE)</f>
        <v>50</v>
      </c>
      <c r="F62" s="123">
        <f>VLOOKUP(D62,履修状況!$A$4:$AH$60,32,FALSE)</f>
        <v>0</v>
      </c>
      <c r="G62" s="304"/>
      <c r="H62" s="305"/>
      <c r="I62" s="124"/>
      <c r="J62" s="124"/>
      <c r="K62" s="287">
        <f>L62-AD62</f>
        <v>110</v>
      </c>
      <c r="L62" s="290">
        <f>SUM(E62:E66,I62:I66)</f>
        <v>180</v>
      </c>
      <c r="M62" s="291">
        <f>N62-AD62</f>
        <v>110</v>
      </c>
      <c r="N62" s="301">
        <f>SUM(F62:F66,J62:J66,L62)</f>
        <v>180</v>
      </c>
      <c r="O62" s="287">
        <f>MIN(K62,K67,K88,P62-AE62)</f>
        <v>-100</v>
      </c>
      <c r="P62" s="298">
        <f>L62+L67+L88</f>
        <v>945</v>
      </c>
      <c r="Q62" s="291">
        <f>MIN(M62,M67,M88,R62-AE62)</f>
        <v>30</v>
      </c>
      <c r="R62" s="301">
        <f>N62+N67+N88</f>
        <v>1240</v>
      </c>
      <c r="S62" s="287">
        <f>MIN(O62,O96,O125,T62-AE62)</f>
        <v>-100</v>
      </c>
      <c r="T62" s="298">
        <f>SUM(P62:P128)</f>
        <v>2125</v>
      </c>
      <c r="U62" s="291">
        <f>MIN(Q62,Q96,Q125,V62-AF62)</f>
        <v>0</v>
      </c>
      <c r="V62" s="301">
        <f>SUM(R62:R128)</f>
        <v>2580</v>
      </c>
      <c r="X62" s="131"/>
      <c r="Y62" s="131"/>
      <c r="Z62" s="131"/>
      <c r="AA62" s="131"/>
      <c r="AD62" s="294">
        <f>基準表!F13</f>
        <v>70</v>
      </c>
      <c r="AE62" s="294">
        <f>基準表!G13</f>
        <v>900</v>
      </c>
      <c r="AF62" s="294">
        <f>基準表!H13</f>
        <v>2250</v>
      </c>
    </row>
    <row r="63" spans="1:32" ht="16" thickBot="1">
      <c r="A63" s="316"/>
      <c r="B63" s="284"/>
      <c r="C63" s="284"/>
      <c r="D63" s="116" t="s">
        <v>99</v>
      </c>
      <c r="E63" s="122">
        <f>VLOOKUP(D63,履修状況!$A$4:$AH$60,24,FALSE)</f>
        <v>130</v>
      </c>
      <c r="F63" s="123">
        <f>VLOOKUP(D63,履修状況!$A$4:$AH$60,32,FALSE)</f>
        <v>0</v>
      </c>
      <c r="G63" s="304"/>
      <c r="H63" s="305"/>
      <c r="I63" s="124"/>
      <c r="J63" s="124"/>
      <c r="K63" s="288"/>
      <c r="L63" s="290"/>
      <c r="M63" s="292"/>
      <c r="N63" s="302"/>
      <c r="O63" s="288"/>
      <c r="P63" s="299"/>
      <c r="Q63" s="292"/>
      <c r="R63" s="302"/>
      <c r="S63" s="288"/>
      <c r="T63" s="299"/>
      <c r="U63" s="292"/>
      <c r="V63" s="302"/>
      <c r="X63" s="131"/>
      <c r="Y63" s="131"/>
      <c r="Z63" s="131"/>
      <c r="AA63" s="131"/>
      <c r="AD63" s="294"/>
      <c r="AE63" s="294"/>
      <c r="AF63" s="294"/>
    </row>
    <row r="64" spans="1:32" ht="15" thickBot="1">
      <c r="A64" s="316"/>
      <c r="B64" s="284"/>
      <c r="C64" s="284"/>
      <c r="D64" s="146" t="s">
        <v>42</v>
      </c>
      <c r="E64" s="122">
        <f>VLOOKUP(D64,履修状況!$A$4:$AH$60,24,FALSE)</f>
        <v>0</v>
      </c>
      <c r="F64" s="123">
        <f>VLOOKUP(D64,履修状況!$A$4:$AH$60,32,FALSE)</f>
        <v>0</v>
      </c>
      <c r="G64" s="304"/>
      <c r="H64" s="305"/>
      <c r="I64" s="124"/>
      <c r="J64" s="124"/>
      <c r="K64" s="288"/>
      <c r="L64" s="290"/>
      <c r="M64" s="292"/>
      <c r="N64" s="302"/>
      <c r="O64" s="288"/>
      <c r="P64" s="299"/>
      <c r="Q64" s="292"/>
      <c r="R64" s="302"/>
      <c r="S64" s="288"/>
      <c r="T64" s="299"/>
      <c r="U64" s="292"/>
      <c r="V64" s="302"/>
      <c r="X64" s="131"/>
      <c r="Y64" s="131"/>
      <c r="Z64" s="131"/>
      <c r="AA64" s="131"/>
      <c r="AD64" s="294"/>
      <c r="AE64" s="294"/>
      <c r="AF64" s="294"/>
    </row>
    <row r="65" spans="1:32" ht="15" thickBot="1">
      <c r="A65" s="316"/>
      <c r="B65" s="284"/>
      <c r="C65" s="284"/>
      <c r="D65" s="146" t="s">
        <v>43</v>
      </c>
      <c r="E65" s="122">
        <f>VLOOKUP(D65,履修状況!$A$4:$AH$60,24,FALSE)</f>
        <v>0</v>
      </c>
      <c r="F65" s="123">
        <f>VLOOKUP(D65,履修状況!$A$4:$AH$60,32,FALSE)</f>
        <v>0</v>
      </c>
      <c r="G65" s="304"/>
      <c r="H65" s="305"/>
      <c r="I65" s="124"/>
      <c r="J65" s="124"/>
      <c r="K65" s="288"/>
      <c r="L65" s="290"/>
      <c r="M65" s="292"/>
      <c r="N65" s="302"/>
      <c r="O65" s="288"/>
      <c r="P65" s="299"/>
      <c r="Q65" s="292"/>
      <c r="R65" s="302"/>
      <c r="S65" s="288"/>
      <c r="T65" s="299"/>
      <c r="U65" s="292"/>
      <c r="V65" s="302"/>
      <c r="X65" s="131"/>
      <c r="Y65" s="131"/>
      <c r="Z65" s="131"/>
      <c r="AA65" s="131"/>
      <c r="AD65" s="294"/>
      <c r="AE65" s="294"/>
      <c r="AF65" s="294"/>
    </row>
    <row r="66" spans="1:32" ht="15" thickBot="1">
      <c r="A66" s="316"/>
      <c r="B66" s="284"/>
      <c r="C66" s="284"/>
      <c r="D66" s="146" t="s">
        <v>141</v>
      </c>
      <c r="E66" s="122">
        <f>VLOOKUP(D66,履修状況!$A$4:$AH$60,24,FALSE)</f>
        <v>0</v>
      </c>
      <c r="F66" s="123">
        <f>VLOOKUP(D66,履修状況!$A$4:$AH$60,32,FALSE)</f>
        <v>0</v>
      </c>
      <c r="G66" s="304"/>
      <c r="H66" s="305"/>
      <c r="I66" s="124"/>
      <c r="J66" s="124"/>
      <c r="K66" s="289"/>
      <c r="L66" s="290"/>
      <c r="M66" s="293"/>
      <c r="N66" s="303"/>
      <c r="O66" s="288"/>
      <c r="P66" s="299"/>
      <c r="Q66" s="292"/>
      <c r="R66" s="302"/>
      <c r="S66" s="288"/>
      <c r="T66" s="299"/>
      <c r="U66" s="292"/>
      <c r="V66" s="302"/>
      <c r="X66" s="131"/>
      <c r="Y66" s="131"/>
      <c r="Z66" s="131"/>
      <c r="AA66" s="131"/>
      <c r="AD66" s="294"/>
      <c r="AE66" s="294"/>
      <c r="AF66" s="294"/>
    </row>
    <row r="67" spans="1:32" ht="16" thickBot="1">
      <c r="A67" s="316"/>
      <c r="B67" s="284"/>
      <c r="C67" s="284" t="s">
        <v>182</v>
      </c>
      <c r="D67" s="116" t="s">
        <v>99</v>
      </c>
      <c r="E67" s="122">
        <f>VLOOKUP(D67,履修状況!$A$4:$AH$60,24,FALSE)</f>
        <v>130</v>
      </c>
      <c r="F67" s="123">
        <f>VLOOKUP(D67,履修状況!$A$4:$AH$60,32,FALSE)</f>
        <v>0</v>
      </c>
      <c r="G67" s="285" t="s">
        <v>183</v>
      </c>
      <c r="H67" s="286"/>
      <c r="I67" s="124"/>
      <c r="J67" s="124"/>
      <c r="K67" s="287">
        <f>L67-AD67</f>
        <v>335</v>
      </c>
      <c r="L67" s="290">
        <f>SUM(E67:E87,I67:I87)</f>
        <v>765</v>
      </c>
      <c r="M67" s="291">
        <f>N67-AD67</f>
        <v>500</v>
      </c>
      <c r="N67" s="301">
        <f>SUM(F67:F84,J67:J87,L67)</f>
        <v>930</v>
      </c>
      <c r="O67" s="288"/>
      <c r="P67" s="299"/>
      <c r="Q67" s="292"/>
      <c r="R67" s="302"/>
      <c r="S67" s="288"/>
      <c r="T67" s="299"/>
      <c r="U67" s="292"/>
      <c r="V67" s="302"/>
      <c r="X67" s="131"/>
      <c r="Y67" s="131"/>
      <c r="Z67" s="131"/>
      <c r="AA67" s="131"/>
      <c r="AD67" s="294">
        <f>基準表!F14</f>
        <v>430</v>
      </c>
      <c r="AE67" s="294"/>
      <c r="AF67" s="294"/>
    </row>
    <row r="68" spans="1:32" ht="16" thickBot="1">
      <c r="A68" s="316"/>
      <c r="B68" s="284"/>
      <c r="C68" s="284"/>
      <c r="D68" s="116" t="s">
        <v>132</v>
      </c>
      <c r="E68" s="122">
        <f>VLOOKUP(D68,履修状況!$A$4:$AH$60,24,FALSE)</f>
        <v>0</v>
      </c>
      <c r="F68" s="123">
        <f>VLOOKUP(D68,履修状況!$A$4:$AH$60,32,FALSE)</f>
        <v>130</v>
      </c>
      <c r="G68" s="304"/>
      <c r="H68" s="305"/>
      <c r="I68" s="124"/>
      <c r="J68" s="124"/>
      <c r="K68" s="288"/>
      <c r="L68" s="290"/>
      <c r="M68" s="292"/>
      <c r="N68" s="302"/>
      <c r="O68" s="288"/>
      <c r="P68" s="299"/>
      <c r="Q68" s="292"/>
      <c r="R68" s="302"/>
      <c r="S68" s="288"/>
      <c r="T68" s="299"/>
      <c r="U68" s="292"/>
      <c r="V68" s="302"/>
      <c r="X68" s="131"/>
      <c r="Y68" s="131"/>
      <c r="Z68" s="131"/>
      <c r="AA68" s="131"/>
      <c r="AD68" s="294"/>
      <c r="AE68" s="294"/>
      <c r="AF68" s="294"/>
    </row>
    <row r="69" spans="1:32" ht="16" thickBot="1">
      <c r="A69" s="316"/>
      <c r="B69" s="284"/>
      <c r="C69" s="284"/>
      <c r="D69" s="116" t="s">
        <v>149</v>
      </c>
      <c r="E69" s="122">
        <f>VLOOKUP(D69,履修状況!$A$4:$AH$60,24,FALSE)</f>
        <v>35</v>
      </c>
      <c r="F69" s="123">
        <f>VLOOKUP(D69,履修状況!$A$4:$AH$60,32,FALSE)</f>
        <v>0</v>
      </c>
      <c r="G69" s="304"/>
      <c r="H69" s="305"/>
      <c r="I69" s="124"/>
      <c r="J69" s="124"/>
      <c r="K69" s="288"/>
      <c r="L69" s="290"/>
      <c r="M69" s="292"/>
      <c r="N69" s="302"/>
      <c r="O69" s="288"/>
      <c r="P69" s="299"/>
      <c r="Q69" s="292"/>
      <c r="R69" s="302"/>
      <c r="S69" s="288"/>
      <c r="T69" s="299"/>
      <c r="U69" s="292"/>
      <c r="V69" s="302"/>
      <c r="X69" s="131"/>
      <c r="Y69" s="131"/>
      <c r="Z69" s="131"/>
      <c r="AA69" s="131"/>
      <c r="AD69" s="294"/>
      <c r="AE69" s="294"/>
      <c r="AF69" s="294"/>
    </row>
    <row r="70" spans="1:32" ht="16" thickBot="1">
      <c r="A70" s="316"/>
      <c r="B70" s="284"/>
      <c r="C70" s="284"/>
      <c r="D70" s="116" t="s">
        <v>135</v>
      </c>
      <c r="E70" s="122">
        <f>VLOOKUP(D70,履修状況!$A$4:$AH$60,24,FALSE)</f>
        <v>0</v>
      </c>
      <c r="F70" s="123">
        <f>VLOOKUP(D70,履修状況!$A$4:$AH$60,32,FALSE)</f>
        <v>35</v>
      </c>
      <c r="G70" s="304"/>
      <c r="H70" s="305"/>
      <c r="I70" s="124"/>
      <c r="J70" s="124"/>
      <c r="K70" s="288"/>
      <c r="L70" s="290"/>
      <c r="M70" s="292"/>
      <c r="N70" s="302"/>
      <c r="O70" s="288"/>
      <c r="P70" s="299"/>
      <c r="Q70" s="292"/>
      <c r="R70" s="302"/>
      <c r="S70" s="288"/>
      <c r="T70" s="299"/>
      <c r="U70" s="292"/>
      <c r="V70" s="302"/>
      <c r="X70" s="131"/>
      <c r="Y70" s="131"/>
      <c r="Z70" s="131"/>
      <c r="AA70" s="131"/>
      <c r="AD70" s="294"/>
      <c r="AE70" s="294"/>
      <c r="AF70" s="294"/>
    </row>
    <row r="71" spans="1:32" ht="16" thickBot="1">
      <c r="A71" s="316"/>
      <c r="B71" s="284"/>
      <c r="C71" s="284"/>
      <c r="D71" s="116" t="s">
        <v>181</v>
      </c>
      <c r="E71" s="122">
        <f>VLOOKUP(D71,履修状況!$A$4:$AH$60,24,FALSE)</f>
        <v>50</v>
      </c>
      <c r="F71" s="123">
        <f>VLOOKUP(D71,履修状況!$A$4:$AH$60,32,FALSE)</f>
        <v>0</v>
      </c>
      <c r="G71" s="304"/>
      <c r="H71" s="305"/>
      <c r="I71" s="124"/>
      <c r="J71" s="124"/>
      <c r="K71" s="288"/>
      <c r="L71" s="290"/>
      <c r="M71" s="292"/>
      <c r="N71" s="302"/>
      <c r="O71" s="288"/>
      <c r="P71" s="299"/>
      <c r="Q71" s="292"/>
      <c r="R71" s="302"/>
      <c r="S71" s="288"/>
      <c r="T71" s="299"/>
      <c r="U71" s="292"/>
      <c r="V71" s="302"/>
      <c r="X71" s="131"/>
      <c r="Y71" s="131"/>
      <c r="Z71" s="131"/>
      <c r="AA71" s="131"/>
      <c r="AD71" s="294"/>
      <c r="AE71" s="294"/>
      <c r="AF71" s="294"/>
    </row>
    <row r="72" spans="1:32" ht="16" thickBot="1">
      <c r="A72" s="316"/>
      <c r="B72" s="284"/>
      <c r="C72" s="284"/>
      <c r="D72" s="116" t="s">
        <v>137</v>
      </c>
      <c r="E72" s="122">
        <f>VLOOKUP(D72,履修状況!$A$4:$AH$60,24,FALSE)</f>
        <v>0</v>
      </c>
      <c r="F72" s="123">
        <f>VLOOKUP(D72,履修状況!$A$4:$AH$60,32,FALSE)</f>
        <v>0</v>
      </c>
      <c r="G72" s="304"/>
      <c r="H72" s="305"/>
      <c r="I72" s="124"/>
      <c r="J72" s="124"/>
      <c r="K72" s="288"/>
      <c r="L72" s="290"/>
      <c r="M72" s="292"/>
      <c r="N72" s="302"/>
      <c r="O72" s="288"/>
      <c r="P72" s="299"/>
      <c r="Q72" s="292"/>
      <c r="R72" s="302"/>
      <c r="S72" s="288"/>
      <c r="T72" s="299"/>
      <c r="U72" s="292"/>
      <c r="V72" s="302"/>
      <c r="X72" s="131"/>
      <c r="Y72" s="131"/>
      <c r="Z72" s="131"/>
      <c r="AA72" s="131"/>
      <c r="AD72" s="294"/>
      <c r="AE72" s="294"/>
      <c r="AF72" s="294"/>
    </row>
    <row r="73" spans="1:32" ht="16" thickBot="1">
      <c r="A73" s="316"/>
      <c r="B73" s="284"/>
      <c r="C73" s="284"/>
      <c r="D73" s="116" t="s">
        <v>139</v>
      </c>
      <c r="E73" s="122">
        <f>VLOOKUP(D73,履修状況!$A$4:$AH$60,24,FALSE)</f>
        <v>0</v>
      </c>
      <c r="F73" s="123">
        <f>VLOOKUP(D73,履修状況!$A$4:$AH$60,32,FALSE)</f>
        <v>0</v>
      </c>
      <c r="G73" s="304"/>
      <c r="H73" s="305"/>
      <c r="I73" s="124"/>
      <c r="J73" s="124"/>
      <c r="K73" s="288"/>
      <c r="L73" s="290"/>
      <c r="M73" s="292"/>
      <c r="N73" s="302"/>
      <c r="O73" s="288"/>
      <c r="P73" s="299"/>
      <c r="Q73" s="292"/>
      <c r="R73" s="302"/>
      <c r="S73" s="288"/>
      <c r="T73" s="299"/>
      <c r="U73" s="292"/>
      <c r="V73" s="302"/>
      <c r="X73" s="131"/>
      <c r="Y73" s="131"/>
      <c r="Z73" s="131"/>
      <c r="AA73" s="131"/>
      <c r="AD73" s="294"/>
      <c r="AE73" s="294"/>
      <c r="AF73" s="294"/>
    </row>
    <row r="74" spans="1:32" ht="15" thickBot="1">
      <c r="A74" s="316"/>
      <c r="B74" s="284"/>
      <c r="C74" s="284"/>
      <c r="D74" s="146" t="s">
        <v>56</v>
      </c>
      <c r="E74" s="122">
        <f>VLOOKUP(D74,履修状況!$A$4:$AH$60,24,FALSE)</f>
        <v>100</v>
      </c>
      <c r="F74" s="123">
        <f>VLOOKUP(D74,履修状況!$A$4:$AH$60,32,FALSE)</f>
        <v>0</v>
      </c>
      <c r="G74" s="304"/>
      <c r="H74" s="305"/>
      <c r="I74" s="124"/>
      <c r="J74" s="124"/>
      <c r="K74" s="288"/>
      <c r="L74" s="290"/>
      <c r="M74" s="292"/>
      <c r="N74" s="302"/>
      <c r="O74" s="288"/>
      <c r="P74" s="299"/>
      <c r="Q74" s="292"/>
      <c r="R74" s="302"/>
      <c r="S74" s="288"/>
      <c r="T74" s="299"/>
      <c r="U74" s="292"/>
      <c r="V74" s="302"/>
      <c r="X74" s="131"/>
      <c r="Y74" s="131"/>
      <c r="Z74" s="131"/>
      <c r="AA74" s="131"/>
      <c r="AD74" s="294"/>
      <c r="AE74" s="294"/>
      <c r="AF74" s="294"/>
    </row>
    <row r="75" spans="1:32" ht="15" thickBot="1">
      <c r="A75" s="316"/>
      <c r="B75" s="284"/>
      <c r="C75" s="284"/>
      <c r="D75" s="146" t="s">
        <v>57</v>
      </c>
      <c r="E75" s="122">
        <f>VLOOKUP(D75,履修状況!$A$4:$AH$60,24,FALSE)</f>
        <v>0</v>
      </c>
      <c r="F75" s="123">
        <f>VLOOKUP(D75,履修状況!$A$4:$AH$60,32,FALSE)</f>
        <v>0</v>
      </c>
      <c r="G75" s="304"/>
      <c r="H75" s="305"/>
      <c r="I75" s="124"/>
      <c r="J75" s="124"/>
      <c r="K75" s="288"/>
      <c r="L75" s="290"/>
      <c r="M75" s="292"/>
      <c r="N75" s="302"/>
      <c r="O75" s="288"/>
      <c r="P75" s="299"/>
      <c r="Q75" s="292"/>
      <c r="R75" s="302"/>
      <c r="S75" s="288"/>
      <c r="T75" s="299"/>
      <c r="U75" s="292"/>
      <c r="V75" s="302"/>
      <c r="X75" s="131"/>
      <c r="Y75" s="131"/>
      <c r="Z75" s="131"/>
      <c r="AA75" s="131"/>
      <c r="AD75" s="294"/>
      <c r="AE75" s="294"/>
      <c r="AF75" s="294"/>
    </row>
    <row r="76" spans="1:32" ht="15" thickBot="1">
      <c r="A76" s="316"/>
      <c r="B76" s="284"/>
      <c r="C76" s="284"/>
      <c r="D76" s="146" t="s">
        <v>58</v>
      </c>
      <c r="E76" s="122">
        <f>VLOOKUP(D76,履修状況!$A$4:$AH$60,24,FALSE)</f>
        <v>0</v>
      </c>
      <c r="F76" s="123">
        <f>VLOOKUP(D76,履修状況!$A$4:$AH$60,32,FALSE)</f>
        <v>0</v>
      </c>
      <c r="G76" s="304"/>
      <c r="H76" s="305"/>
      <c r="I76" s="124"/>
      <c r="J76" s="124"/>
      <c r="K76" s="288"/>
      <c r="L76" s="290"/>
      <c r="M76" s="292"/>
      <c r="N76" s="302"/>
      <c r="O76" s="288"/>
      <c r="P76" s="299"/>
      <c r="Q76" s="292"/>
      <c r="R76" s="302"/>
      <c r="S76" s="288"/>
      <c r="T76" s="299"/>
      <c r="U76" s="292"/>
      <c r="V76" s="302"/>
      <c r="X76" s="131"/>
      <c r="Y76" s="131"/>
      <c r="Z76" s="131"/>
      <c r="AA76" s="131"/>
      <c r="AD76" s="294"/>
      <c r="AE76" s="294"/>
      <c r="AF76" s="294"/>
    </row>
    <row r="77" spans="1:32" ht="15" thickBot="1">
      <c r="A77" s="316"/>
      <c r="B77" s="284"/>
      <c r="C77" s="284"/>
      <c r="D77" s="146" t="s">
        <v>60</v>
      </c>
      <c r="E77" s="122">
        <f>VLOOKUP(D77,履修状況!$A$4:$AH$60,24,FALSE)</f>
        <v>250</v>
      </c>
      <c r="F77" s="123">
        <f>VLOOKUP(D77,履修状況!$A$4:$AH$60,32,FALSE)</f>
        <v>0</v>
      </c>
      <c r="G77" s="304"/>
      <c r="H77" s="305"/>
      <c r="I77" s="124"/>
      <c r="J77" s="124"/>
      <c r="K77" s="288"/>
      <c r="L77" s="290"/>
      <c r="M77" s="292"/>
      <c r="N77" s="302"/>
      <c r="O77" s="288"/>
      <c r="P77" s="299"/>
      <c r="Q77" s="292"/>
      <c r="R77" s="302"/>
      <c r="S77" s="288"/>
      <c r="T77" s="299"/>
      <c r="U77" s="292"/>
      <c r="V77" s="302"/>
      <c r="X77" s="131"/>
      <c r="Y77" s="131"/>
      <c r="Z77" s="131"/>
      <c r="AA77" s="131"/>
      <c r="AD77" s="294"/>
      <c r="AE77" s="294"/>
      <c r="AF77" s="294"/>
    </row>
    <row r="78" spans="1:32" ht="15" thickBot="1">
      <c r="A78" s="316"/>
      <c r="B78" s="284"/>
      <c r="C78" s="284"/>
      <c r="D78" s="146" t="s">
        <v>51</v>
      </c>
      <c r="E78" s="122">
        <f>VLOOKUP(D78,履修状況!$A$4:$AH$60,24,FALSE)</f>
        <v>50</v>
      </c>
      <c r="F78" s="123">
        <f>VLOOKUP(D78,履修状況!$A$4:$AH$60,32,FALSE)</f>
        <v>0</v>
      </c>
      <c r="G78" s="304"/>
      <c r="H78" s="305"/>
      <c r="I78" s="124"/>
      <c r="J78" s="124"/>
      <c r="K78" s="288"/>
      <c r="L78" s="290"/>
      <c r="M78" s="292"/>
      <c r="N78" s="302"/>
      <c r="O78" s="288"/>
      <c r="P78" s="299"/>
      <c r="Q78" s="292"/>
      <c r="R78" s="302"/>
      <c r="S78" s="288"/>
      <c r="T78" s="299"/>
      <c r="U78" s="292"/>
      <c r="V78" s="302"/>
      <c r="X78" s="131"/>
      <c r="Y78" s="131"/>
      <c r="Z78" s="131"/>
      <c r="AA78" s="131"/>
      <c r="AD78" s="294"/>
      <c r="AE78" s="294"/>
      <c r="AF78" s="294"/>
    </row>
    <row r="79" spans="1:32" ht="15" thickBot="1">
      <c r="A79" s="316"/>
      <c r="B79" s="284"/>
      <c r="C79" s="284"/>
      <c r="D79" s="146" t="s">
        <v>52</v>
      </c>
      <c r="E79" s="122">
        <f>VLOOKUP(D79,履修状況!$A$4:$AH$60,24,FALSE)</f>
        <v>0</v>
      </c>
      <c r="F79" s="123">
        <f>VLOOKUP(D79,履修状況!$A$4:$AH$60,32,FALSE)</f>
        <v>0</v>
      </c>
      <c r="G79" s="304"/>
      <c r="H79" s="305"/>
      <c r="I79" s="124"/>
      <c r="J79" s="124"/>
      <c r="K79" s="288"/>
      <c r="L79" s="290"/>
      <c r="M79" s="292"/>
      <c r="N79" s="302"/>
      <c r="O79" s="288"/>
      <c r="P79" s="299"/>
      <c r="Q79" s="292"/>
      <c r="R79" s="302"/>
      <c r="S79" s="288"/>
      <c r="T79" s="299"/>
      <c r="U79" s="292"/>
      <c r="V79" s="302"/>
      <c r="X79" s="131"/>
      <c r="Y79" s="131"/>
      <c r="Z79" s="131"/>
      <c r="AA79" s="131"/>
      <c r="AD79" s="294"/>
      <c r="AE79" s="294"/>
      <c r="AF79" s="294"/>
    </row>
    <row r="80" spans="1:32" ht="15" thickBot="1">
      <c r="A80" s="316"/>
      <c r="B80" s="284"/>
      <c r="C80" s="284"/>
      <c r="D80" s="146" t="s">
        <v>55</v>
      </c>
      <c r="E80" s="122">
        <f>VLOOKUP(D80,履修状況!$A$4:$AH$60,24,FALSE)</f>
        <v>50</v>
      </c>
      <c r="F80" s="123">
        <f>VLOOKUP(D80,履修状況!$A$4:$AH$60,32,FALSE)</f>
        <v>0</v>
      </c>
      <c r="G80" s="304"/>
      <c r="H80" s="305"/>
      <c r="I80" s="124"/>
      <c r="J80" s="124"/>
      <c r="K80" s="288"/>
      <c r="L80" s="290"/>
      <c r="M80" s="292"/>
      <c r="N80" s="302"/>
      <c r="O80" s="288"/>
      <c r="P80" s="299"/>
      <c r="Q80" s="292"/>
      <c r="R80" s="302"/>
      <c r="S80" s="288"/>
      <c r="T80" s="299"/>
      <c r="U80" s="292"/>
      <c r="V80" s="302"/>
      <c r="X80" s="131"/>
      <c r="Y80" s="131"/>
      <c r="Z80" s="131"/>
      <c r="AA80" s="131"/>
      <c r="AD80" s="294"/>
      <c r="AE80" s="294"/>
      <c r="AF80" s="294"/>
    </row>
    <row r="81" spans="1:32" ht="15" thickBot="1">
      <c r="A81" s="316"/>
      <c r="B81" s="284"/>
      <c r="C81" s="284"/>
      <c r="D81" s="146" t="s">
        <v>61</v>
      </c>
      <c r="E81" s="122">
        <f>VLOOKUP(D81,履修状況!$A$4:$AH$60,24,FALSE)</f>
        <v>0</v>
      </c>
      <c r="F81" s="123">
        <f>VLOOKUP(D81,履修状況!$A$4:$AH$60,32,FALSE)</f>
        <v>0</v>
      </c>
      <c r="G81" s="304"/>
      <c r="H81" s="305"/>
      <c r="I81" s="124"/>
      <c r="J81" s="124"/>
      <c r="K81" s="288"/>
      <c r="L81" s="290"/>
      <c r="M81" s="292"/>
      <c r="N81" s="302"/>
      <c r="O81" s="288"/>
      <c r="P81" s="299"/>
      <c r="Q81" s="292"/>
      <c r="R81" s="302"/>
      <c r="S81" s="288"/>
      <c r="T81" s="299"/>
      <c r="U81" s="292"/>
      <c r="V81" s="302"/>
      <c r="X81" s="131"/>
      <c r="Y81" s="131"/>
      <c r="Z81" s="131"/>
      <c r="AA81" s="131"/>
      <c r="AD81" s="294"/>
      <c r="AE81" s="294"/>
      <c r="AF81" s="294"/>
    </row>
    <row r="82" spans="1:32" ht="15" thickBot="1">
      <c r="A82" s="316"/>
      <c r="B82" s="284"/>
      <c r="C82" s="284"/>
      <c r="D82" s="146" t="s">
        <v>158</v>
      </c>
      <c r="E82" s="122">
        <f>VLOOKUP(D82,履修状況!$A$4:$AH$60,24,FALSE)</f>
        <v>0</v>
      </c>
      <c r="F82" s="123">
        <f>VLOOKUP(D82,履修状況!$A$4:$AH$60,32,FALSE)</f>
        <v>0</v>
      </c>
      <c r="G82" s="304"/>
      <c r="H82" s="305"/>
      <c r="I82" s="124"/>
      <c r="J82" s="124"/>
      <c r="K82" s="288"/>
      <c r="L82" s="290"/>
      <c r="M82" s="292"/>
      <c r="N82" s="302"/>
      <c r="O82" s="288"/>
      <c r="P82" s="299"/>
      <c r="Q82" s="292"/>
      <c r="R82" s="302"/>
      <c r="S82" s="288"/>
      <c r="T82" s="299"/>
      <c r="U82" s="292"/>
      <c r="V82" s="302"/>
      <c r="X82" s="131"/>
      <c r="Y82" s="131"/>
      <c r="Z82" s="131"/>
      <c r="AA82" s="131"/>
      <c r="AD82" s="294"/>
      <c r="AE82" s="294"/>
      <c r="AF82" s="294"/>
    </row>
    <row r="83" spans="1:32" ht="13.5" customHeight="1" thickBot="1">
      <c r="A83" s="316"/>
      <c r="B83" s="284"/>
      <c r="C83" s="284"/>
      <c r="D83" s="146" t="s">
        <v>64</v>
      </c>
      <c r="E83" s="122">
        <f>VLOOKUP(D83,履修状況!$A$4:$AH$60,24,FALSE)</f>
        <v>100</v>
      </c>
      <c r="F83" s="123">
        <f>VLOOKUP(D83,履修状況!$A$4:$AH$60,32,FALSE)</f>
        <v>0</v>
      </c>
      <c r="G83" s="318" t="s">
        <v>184</v>
      </c>
      <c r="H83" s="319"/>
      <c r="I83" s="324"/>
      <c r="J83" s="324"/>
      <c r="K83" s="288"/>
      <c r="L83" s="290"/>
      <c r="M83" s="292"/>
      <c r="N83" s="302"/>
      <c r="O83" s="288"/>
      <c r="P83" s="299"/>
      <c r="Q83" s="292"/>
      <c r="R83" s="302"/>
      <c r="S83" s="288"/>
      <c r="T83" s="299"/>
      <c r="U83" s="292"/>
      <c r="V83" s="302"/>
      <c r="X83" s="131"/>
      <c r="Y83" s="131"/>
      <c r="Z83" s="131"/>
      <c r="AA83" s="131"/>
      <c r="AD83" s="294"/>
      <c r="AE83" s="294"/>
      <c r="AF83" s="294"/>
    </row>
    <row r="84" spans="1:32" ht="15" thickBot="1">
      <c r="A84" s="316"/>
      <c r="B84" s="284"/>
      <c r="C84" s="284"/>
      <c r="D84" s="146" t="s">
        <v>170</v>
      </c>
      <c r="E84" s="122">
        <f>VLOOKUP(D84,履修状況!$A$4:$AH$60,24,FALSE)</f>
        <v>0</v>
      </c>
      <c r="F84" s="123">
        <f>VLOOKUP(D84,履修状況!$A$4:$AH$60,32,FALSE)</f>
        <v>0</v>
      </c>
      <c r="G84" s="320"/>
      <c r="H84" s="321"/>
      <c r="I84" s="324"/>
      <c r="J84" s="324"/>
      <c r="K84" s="288"/>
      <c r="L84" s="290"/>
      <c r="M84" s="292"/>
      <c r="N84" s="302"/>
      <c r="O84" s="288"/>
      <c r="P84" s="299"/>
      <c r="Q84" s="292"/>
      <c r="R84" s="302"/>
      <c r="S84" s="288"/>
      <c r="T84" s="299"/>
      <c r="U84" s="292"/>
      <c r="V84" s="302"/>
      <c r="X84" s="131"/>
      <c r="Y84" s="131"/>
      <c r="Z84" s="131"/>
      <c r="AA84" s="131"/>
      <c r="AD84" s="294"/>
      <c r="AE84" s="294"/>
      <c r="AF84" s="294"/>
    </row>
    <row r="85" spans="1:32" ht="15" thickBot="1">
      <c r="A85" s="316"/>
      <c r="B85" s="284"/>
      <c r="C85" s="284"/>
      <c r="D85" s="153" t="s">
        <v>185</v>
      </c>
      <c r="E85" s="122">
        <f>-E59</f>
        <v>0</v>
      </c>
      <c r="F85" s="123">
        <f>-F59</f>
        <v>0</v>
      </c>
      <c r="G85" s="320"/>
      <c r="H85" s="321"/>
      <c r="I85" s="324"/>
      <c r="J85" s="324"/>
      <c r="K85" s="288"/>
      <c r="L85" s="290"/>
      <c r="M85" s="292"/>
      <c r="N85" s="302"/>
      <c r="O85" s="288"/>
      <c r="P85" s="299"/>
      <c r="Q85" s="292"/>
      <c r="R85" s="302"/>
      <c r="S85" s="288"/>
      <c r="T85" s="299"/>
      <c r="U85" s="292"/>
      <c r="V85" s="302"/>
      <c r="X85" s="131"/>
      <c r="Y85" s="131"/>
      <c r="Z85" s="131"/>
      <c r="AA85" s="131"/>
      <c r="AD85" s="294"/>
      <c r="AE85" s="294"/>
      <c r="AF85" s="294"/>
    </row>
    <row r="86" spans="1:32" ht="16" thickBot="1">
      <c r="A86" s="316"/>
      <c r="B86" s="284"/>
      <c r="C86" s="284"/>
      <c r="D86" s="136" t="s">
        <v>171</v>
      </c>
      <c r="E86" s="124"/>
      <c r="F86" s="124"/>
      <c r="G86" s="320"/>
      <c r="H86" s="321"/>
      <c r="I86" s="324"/>
      <c r="J86" s="324"/>
      <c r="K86" s="288"/>
      <c r="L86" s="290"/>
      <c r="M86" s="292"/>
      <c r="N86" s="302"/>
      <c r="O86" s="288"/>
      <c r="P86" s="299"/>
      <c r="Q86" s="292"/>
      <c r="R86" s="302"/>
      <c r="S86" s="288"/>
      <c r="T86" s="299"/>
      <c r="U86" s="292"/>
      <c r="V86" s="302"/>
      <c r="X86" s="131"/>
      <c r="Y86" s="131"/>
      <c r="Z86" s="131"/>
      <c r="AA86" s="131"/>
      <c r="AD86" s="294"/>
      <c r="AE86" s="294"/>
      <c r="AF86" s="294"/>
    </row>
    <row r="87" spans="1:32" ht="16" thickBot="1">
      <c r="A87" s="316"/>
      <c r="B87" s="284"/>
      <c r="C87" s="284"/>
      <c r="D87" s="136" t="s">
        <v>173</v>
      </c>
      <c r="E87" s="124"/>
      <c r="F87" s="124"/>
      <c r="G87" s="322"/>
      <c r="H87" s="323"/>
      <c r="I87" s="324"/>
      <c r="J87" s="324"/>
      <c r="K87" s="289"/>
      <c r="L87" s="290"/>
      <c r="M87" s="293"/>
      <c r="N87" s="303"/>
      <c r="O87" s="288"/>
      <c r="P87" s="299"/>
      <c r="Q87" s="292"/>
      <c r="R87" s="302"/>
      <c r="S87" s="288"/>
      <c r="T87" s="299"/>
      <c r="U87" s="292"/>
      <c r="V87" s="302"/>
      <c r="X87" s="131"/>
      <c r="Y87" s="131"/>
      <c r="Z87" s="131"/>
      <c r="AA87" s="131"/>
      <c r="AD87" s="294"/>
      <c r="AE87" s="294"/>
      <c r="AF87" s="294"/>
    </row>
    <row r="88" spans="1:32" ht="16" thickBot="1">
      <c r="A88" s="316"/>
      <c r="B88" s="284"/>
      <c r="C88" s="284" t="s">
        <v>186</v>
      </c>
      <c r="D88" s="116" t="s">
        <v>132</v>
      </c>
      <c r="E88" s="122">
        <f>VLOOKUP(D88,履修状況!$A$4:$AH$60,24,FALSE)</f>
        <v>0</v>
      </c>
      <c r="F88" s="123">
        <f>VLOOKUP(D88,履修状況!$A$4:$AH$60,32,FALSE)</f>
        <v>130</v>
      </c>
      <c r="G88" s="285" t="s">
        <v>187</v>
      </c>
      <c r="H88" s="286"/>
      <c r="I88" s="124"/>
      <c r="J88" s="124"/>
      <c r="K88" s="287">
        <f>L88-AD88</f>
        <v>-100</v>
      </c>
      <c r="L88" s="290">
        <f>SUM(E88:E95,I88:I95)</f>
        <v>0</v>
      </c>
      <c r="M88" s="291">
        <f>N88-AD88</f>
        <v>30</v>
      </c>
      <c r="N88" s="301">
        <f>SUM(F88:F95,J88:J95,L88)</f>
        <v>130</v>
      </c>
      <c r="O88" s="288"/>
      <c r="P88" s="299"/>
      <c r="Q88" s="292"/>
      <c r="R88" s="302"/>
      <c r="S88" s="288"/>
      <c r="T88" s="299"/>
      <c r="U88" s="292"/>
      <c r="V88" s="302"/>
      <c r="X88" s="131"/>
      <c r="Y88" s="131"/>
      <c r="Z88" s="131"/>
      <c r="AA88" s="131"/>
      <c r="AD88" s="294">
        <f>基準表!F15</f>
        <v>100</v>
      </c>
      <c r="AE88" s="294"/>
      <c r="AF88" s="294"/>
    </row>
    <row r="89" spans="1:32" ht="16" thickBot="1">
      <c r="A89" s="316"/>
      <c r="B89" s="284"/>
      <c r="C89" s="284"/>
      <c r="D89" s="116" t="s">
        <v>121</v>
      </c>
      <c r="E89" s="122">
        <f>VLOOKUP(D89,履修状況!$A$4:$AH$60,24,FALSE)</f>
        <v>0</v>
      </c>
      <c r="F89" s="123">
        <f>VLOOKUP(D89,履修状況!$A$4:$AH$60,32,FALSE)</f>
        <v>0</v>
      </c>
      <c r="G89" s="304"/>
      <c r="H89" s="305"/>
      <c r="I89" s="124"/>
      <c r="J89" s="124"/>
      <c r="K89" s="288"/>
      <c r="L89" s="290"/>
      <c r="M89" s="292"/>
      <c r="N89" s="302"/>
      <c r="O89" s="288"/>
      <c r="P89" s="299"/>
      <c r="Q89" s="292"/>
      <c r="R89" s="302"/>
      <c r="S89" s="288"/>
      <c r="T89" s="299"/>
      <c r="U89" s="292"/>
      <c r="V89" s="302"/>
      <c r="X89" s="131"/>
      <c r="Y89" s="131"/>
      <c r="Z89" s="131"/>
      <c r="AA89" s="131"/>
      <c r="AD89" s="294"/>
      <c r="AE89" s="294"/>
      <c r="AF89" s="294"/>
    </row>
    <row r="90" spans="1:32" ht="16" thickBot="1">
      <c r="A90" s="316"/>
      <c r="B90" s="284"/>
      <c r="C90" s="284"/>
      <c r="D90" s="116" t="s">
        <v>125</v>
      </c>
      <c r="E90" s="122">
        <f>VLOOKUP(D90,履修状況!$A$4:$AH$60,24,FALSE)</f>
        <v>0</v>
      </c>
      <c r="F90" s="123">
        <f>VLOOKUP(D90,履修状況!$A$4:$AH$60,32,FALSE)</f>
        <v>0</v>
      </c>
      <c r="G90" s="304"/>
      <c r="H90" s="305"/>
      <c r="I90" s="124"/>
      <c r="J90" s="124"/>
      <c r="K90" s="288"/>
      <c r="L90" s="290"/>
      <c r="M90" s="292"/>
      <c r="N90" s="302"/>
      <c r="O90" s="288"/>
      <c r="P90" s="299"/>
      <c r="Q90" s="292"/>
      <c r="R90" s="302"/>
      <c r="S90" s="288"/>
      <c r="T90" s="299"/>
      <c r="U90" s="292"/>
      <c r="V90" s="302"/>
      <c r="X90" s="131"/>
      <c r="Y90" s="131"/>
      <c r="Z90" s="131"/>
      <c r="AA90" s="131"/>
      <c r="AD90" s="294"/>
      <c r="AE90" s="294"/>
      <c r="AF90" s="294"/>
    </row>
    <row r="91" spans="1:32" ht="15" thickBot="1">
      <c r="A91" s="316"/>
      <c r="B91" s="284"/>
      <c r="C91" s="284"/>
      <c r="D91" s="146" t="s">
        <v>34</v>
      </c>
      <c r="E91" s="122">
        <f>VLOOKUP(D91,履修状況!$A$4:$AH$60,24,FALSE)</f>
        <v>0</v>
      </c>
      <c r="F91" s="123">
        <f>VLOOKUP(D91,履修状況!$A$4:$AH$60,32,FALSE)</f>
        <v>0</v>
      </c>
      <c r="G91" s="304"/>
      <c r="H91" s="305"/>
      <c r="I91" s="124"/>
      <c r="J91" s="124"/>
      <c r="K91" s="288"/>
      <c r="L91" s="290"/>
      <c r="M91" s="292"/>
      <c r="N91" s="302"/>
      <c r="O91" s="288"/>
      <c r="P91" s="299"/>
      <c r="Q91" s="292"/>
      <c r="R91" s="302"/>
      <c r="S91" s="288"/>
      <c r="T91" s="299"/>
      <c r="U91" s="292"/>
      <c r="V91" s="302"/>
      <c r="AD91" s="294"/>
      <c r="AE91" s="294"/>
      <c r="AF91" s="294"/>
    </row>
    <row r="92" spans="1:32" ht="15" thickBot="1">
      <c r="A92" s="316"/>
      <c r="B92" s="284"/>
      <c r="C92" s="284"/>
      <c r="D92" s="146" t="s">
        <v>38</v>
      </c>
      <c r="E92" s="122">
        <f>VLOOKUP(D92,履修状況!$A$4:$AH$60,24,FALSE)</f>
        <v>0</v>
      </c>
      <c r="F92" s="123">
        <f>VLOOKUP(D92,履修状況!$A$4:$AH$60,32,FALSE)</f>
        <v>0</v>
      </c>
      <c r="G92" s="304"/>
      <c r="H92" s="305"/>
      <c r="I92" s="124"/>
      <c r="J92" s="124"/>
      <c r="K92" s="288"/>
      <c r="L92" s="290"/>
      <c r="M92" s="292"/>
      <c r="N92" s="302"/>
      <c r="O92" s="288"/>
      <c r="P92" s="299"/>
      <c r="Q92" s="292"/>
      <c r="R92" s="302"/>
      <c r="S92" s="288"/>
      <c r="T92" s="299"/>
      <c r="U92" s="292"/>
      <c r="V92" s="302"/>
      <c r="AD92" s="294"/>
      <c r="AE92" s="294"/>
      <c r="AF92" s="294"/>
    </row>
    <row r="93" spans="1:32" ht="15" thickBot="1">
      <c r="A93" s="316"/>
      <c r="B93" s="284"/>
      <c r="C93" s="284"/>
      <c r="D93" s="146" t="s">
        <v>39</v>
      </c>
      <c r="E93" s="122">
        <f>VLOOKUP(D93,履修状況!$A$4:$AH$60,24,FALSE)</f>
        <v>0</v>
      </c>
      <c r="F93" s="123">
        <f>VLOOKUP(D93,履修状況!$A$4:$AH$60,32,FALSE)</f>
        <v>0</v>
      </c>
      <c r="G93" s="304"/>
      <c r="H93" s="305"/>
      <c r="I93" s="124"/>
      <c r="J93" s="124"/>
      <c r="K93" s="288"/>
      <c r="L93" s="290"/>
      <c r="M93" s="292"/>
      <c r="N93" s="302"/>
      <c r="O93" s="288"/>
      <c r="P93" s="299"/>
      <c r="Q93" s="292"/>
      <c r="R93" s="302"/>
      <c r="S93" s="288"/>
      <c r="T93" s="299"/>
      <c r="U93" s="292"/>
      <c r="V93" s="302"/>
      <c r="AD93" s="294"/>
      <c r="AE93" s="294"/>
      <c r="AF93" s="294"/>
    </row>
    <row r="94" spans="1:32" ht="15" thickBot="1">
      <c r="A94" s="316"/>
      <c r="B94" s="284"/>
      <c r="C94" s="284"/>
      <c r="D94" s="146" t="s">
        <v>177</v>
      </c>
      <c r="E94" s="122">
        <f>VLOOKUP(D94,履修状況!$A$4:$AH$60,24,FALSE)</f>
        <v>0</v>
      </c>
      <c r="F94" s="123">
        <f>VLOOKUP(D94,履修状況!$A$4:$AH$60,32,FALSE)</f>
        <v>0</v>
      </c>
      <c r="G94" s="304"/>
      <c r="H94" s="305"/>
      <c r="I94" s="124"/>
      <c r="J94" s="124"/>
      <c r="K94" s="288"/>
      <c r="L94" s="290"/>
      <c r="M94" s="292"/>
      <c r="N94" s="302"/>
      <c r="O94" s="288"/>
      <c r="P94" s="299"/>
      <c r="Q94" s="292"/>
      <c r="R94" s="302"/>
      <c r="S94" s="288"/>
      <c r="T94" s="299"/>
      <c r="U94" s="292"/>
      <c r="V94" s="302"/>
      <c r="AD94" s="294"/>
      <c r="AE94" s="294"/>
      <c r="AF94" s="294"/>
    </row>
    <row r="95" spans="1:32" ht="15" thickBot="1">
      <c r="A95" s="316"/>
      <c r="B95" s="284"/>
      <c r="C95" s="284"/>
      <c r="D95" s="146" t="s">
        <v>44</v>
      </c>
      <c r="E95" s="122">
        <f>VLOOKUP(D95,履修状況!$A$4:$AH$60,24,FALSE)</f>
        <v>0</v>
      </c>
      <c r="F95" s="123">
        <f>VLOOKUP(D95,履修状況!$A$4:$AH$60,32,FALSE)</f>
        <v>0</v>
      </c>
      <c r="G95" s="304"/>
      <c r="H95" s="305"/>
      <c r="I95" s="124"/>
      <c r="J95" s="124"/>
      <c r="K95" s="289"/>
      <c r="L95" s="290"/>
      <c r="M95" s="293"/>
      <c r="N95" s="303"/>
      <c r="O95" s="289"/>
      <c r="P95" s="300"/>
      <c r="Q95" s="293"/>
      <c r="R95" s="303"/>
      <c r="S95" s="288"/>
      <c r="T95" s="299"/>
      <c r="U95" s="292"/>
      <c r="V95" s="302"/>
      <c r="AD95" s="294"/>
      <c r="AE95" s="294"/>
      <c r="AF95" s="294"/>
    </row>
    <row r="96" spans="1:32" ht="13.5" customHeight="1" thickBot="1">
      <c r="A96" s="316"/>
      <c r="B96" s="284" t="s">
        <v>188</v>
      </c>
      <c r="C96" s="284" t="s">
        <v>189</v>
      </c>
      <c r="D96" s="116" t="s">
        <v>149</v>
      </c>
      <c r="E96" s="122">
        <f>VLOOKUP(D96,履修状況!$A$4:$AH$60,25,FALSE)</f>
        <v>30</v>
      </c>
      <c r="F96" s="123">
        <f>VLOOKUP(D96,履修状況!$A$4:$AH$60,33,FALSE)</f>
        <v>0</v>
      </c>
      <c r="G96" s="285" t="s">
        <v>157</v>
      </c>
      <c r="H96" s="286"/>
      <c r="I96" s="124"/>
      <c r="J96" s="124"/>
      <c r="K96" s="287">
        <f>L96-AD96</f>
        <v>30</v>
      </c>
      <c r="L96" s="290">
        <f>SUM(E96:E107,I96:I107)</f>
        <v>130</v>
      </c>
      <c r="M96" s="291">
        <f>N96-AD96</f>
        <v>60</v>
      </c>
      <c r="N96" s="297">
        <f>SUM(F96:F107,J96:J107,L96)</f>
        <v>160</v>
      </c>
      <c r="O96" s="287">
        <f>MIN(K96,K108,K112,P96-AE96)</f>
        <v>30</v>
      </c>
      <c r="P96" s="298">
        <f>L96+L108+L112</f>
        <v>1080</v>
      </c>
      <c r="Q96" s="291">
        <f>MIN(M96,M108,M112,R96-AE96)</f>
        <v>60</v>
      </c>
      <c r="R96" s="301">
        <f>N96+N108+N112</f>
        <v>1210</v>
      </c>
      <c r="S96" s="288"/>
      <c r="T96" s="299"/>
      <c r="U96" s="292"/>
      <c r="V96" s="302"/>
      <c r="AD96" s="294">
        <f>基準表!F16</f>
        <v>100</v>
      </c>
      <c r="AE96" s="294">
        <f>基準表!G16</f>
        <v>900</v>
      </c>
      <c r="AF96" s="294"/>
    </row>
    <row r="97" spans="1:32" ht="16" thickBot="1">
      <c r="A97" s="316"/>
      <c r="B97" s="284"/>
      <c r="C97" s="284"/>
      <c r="D97" s="116" t="s">
        <v>135</v>
      </c>
      <c r="E97" s="122">
        <f>VLOOKUP(D97,履修状況!$A$4:$AH$60,25,FALSE)</f>
        <v>0</v>
      </c>
      <c r="F97" s="123">
        <f>VLOOKUP(D97,履修状況!$A$4:$AH$60,33,FALSE)</f>
        <v>30</v>
      </c>
      <c r="G97" s="154"/>
      <c r="H97" s="155"/>
      <c r="I97" s="124"/>
      <c r="J97" s="124"/>
      <c r="K97" s="288"/>
      <c r="L97" s="290"/>
      <c r="M97" s="292"/>
      <c r="N97" s="297"/>
      <c r="O97" s="288"/>
      <c r="P97" s="299"/>
      <c r="Q97" s="292"/>
      <c r="R97" s="302"/>
      <c r="S97" s="288"/>
      <c r="T97" s="299"/>
      <c r="U97" s="292"/>
      <c r="V97" s="302"/>
      <c r="AD97" s="294"/>
      <c r="AE97" s="294"/>
      <c r="AF97" s="294"/>
    </row>
    <row r="98" spans="1:32" ht="16" thickBot="1">
      <c r="A98" s="316"/>
      <c r="B98" s="284"/>
      <c r="C98" s="284"/>
      <c r="D98" s="136" t="s">
        <v>297</v>
      </c>
      <c r="E98" s="124"/>
      <c r="F98" s="124"/>
      <c r="G98" s="154"/>
      <c r="H98" s="155"/>
      <c r="I98" s="124"/>
      <c r="J98" s="124"/>
      <c r="K98" s="288"/>
      <c r="L98" s="290"/>
      <c r="M98" s="292"/>
      <c r="N98" s="297"/>
      <c r="O98" s="288"/>
      <c r="P98" s="299"/>
      <c r="Q98" s="292"/>
      <c r="R98" s="302"/>
      <c r="S98" s="288"/>
      <c r="T98" s="299"/>
      <c r="U98" s="292"/>
      <c r="V98" s="302"/>
      <c r="AD98" s="294"/>
      <c r="AE98" s="294"/>
      <c r="AF98" s="294"/>
    </row>
    <row r="99" spans="1:32" ht="16" thickBot="1">
      <c r="A99" s="316"/>
      <c r="B99" s="284"/>
      <c r="C99" s="284"/>
      <c r="D99" s="136" t="s">
        <v>295</v>
      </c>
      <c r="E99" s="124"/>
      <c r="F99" s="124"/>
      <c r="G99" s="154"/>
      <c r="H99" s="155"/>
      <c r="I99" s="124"/>
      <c r="J99" s="124"/>
      <c r="K99" s="288"/>
      <c r="L99" s="290"/>
      <c r="M99" s="292"/>
      <c r="N99" s="297"/>
      <c r="O99" s="288"/>
      <c r="P99" s="299"/>
      <c r="Q99" s="292"/>
      <c r="R99" s="302"/>
      <c r="S99" s="288"/>
      <c r="T99" s="299"/>
      <c r="U99" s="292"/>
      <c r="V99" s="302"/>
      <c r="AD99" s="294"/>
      <c r="AE99" s="294"/>
      <c r="AF99" s="294"/>
    </row>
    <row r="100" spans="1:32" ht="16" thickBot="1">
      <c r="A100" s="316"/>
      <c r="B100" s="284"/>
      <c r="C100" s="284"/>
      <c r="D100" s="136" t="s">
        <v>296</v>
      </c>
      <c r="E100" s="124"/>
      <c r="F100" s="124"/>
      <c r="G100" s="154"/>
      <c r="H100" s="155"/>
      <c r="I100" s="124"/>
      <c r="J100" s="124"/>
      <c r="K100" s="288"/>
      <c r="L100" s="290"/>
      <c r="M100" s="292"/>
      <c r="N100" s="297"/>
      <c r="O100" s="288"/>
      <c r="P100" s="299"/>
      <c r="Q100" s="292"/>
      <c r="R100" s="302"/>
      <c r="S100" s="288"/>
      <c r="T100" s="299"/>
      <c r="U100" s="292"/>
      <c r="V100" s="302"/>
      <c r="AD100" s="294"/>
      <c r="AE100" s="294"/>
      <c r="AF100" s="294"/>
    </row>
    <row r="101" spans="1:32" ht="16" thickBot="1">
      <c r="A101" s="316"/>
      <c r="B101" s="284"/>
      <c r="C101" s="284"/>
      <c r="D101" s="136" t="s">
        <v>190</v>
      </c>
      <c r="E101" s="124"/>
      <c r="F101" s="124"/>
      <c r="G101" s="154"/>
      <c r="H101" s="155"/>
      <c r="I101" s="124"/>
      <c r="J101" s="124"/>
      <c r="K101" s="288"/>
      <c r="L101" s="290"/>
      <c r="M101" s="292"/>
      <c r="N101" s="297"/>
      <c r="O101" s="288"/>
      <c r="P101" s="299"/>
      <c r="Q101" s="292"/>
      <c r="R101" s="302"/>
      <c r="S101" s="288"/>
      <c r="T101" s="299"/>
      <c r="U101" s="292"/>
      <c r="V101" s="302"/>
      <c r="AD101" s="294"/>
      <c r="AE101" s="294"/>
      <c r="AF101" s="294"/>
    </row>
    <row r="102" spans="1:32" ht="16" thickBot="1">
      <c r="A102" s="316"/>
      <c r="B102" s="284"/>
      <c r="C102" s="284"/>
      <c r="D102" s="136" t="s">
        <v>191</v>
      </c>
      <c r="E102" s="124"/>
      <c r="F102" s="124"/>
      <c r="G102" s="154"/>
      <c r="H102" s="155"/>
      <c r="I102" s="124"/>
      <c r="J102" s="124"/>
      <c r="K102" s="288"/>
      <c r="L102" s="290"/>
      <c r="M102" s="292"/>
      <c r="N102" s="297"/>
      <c r="O102" s="288"/>
      <c r="P102" s="299"/>
      <c r="Q102" s="292"/>
      <c r="R102" s="302"/>
      <c r="S102" s="288"/>
      <c r="T102" s="299"/>
      <c r="U102" s="292"/>
      <c r="V102" s="302"/>
      <c r="AD102" s="294"/>
      <c r="AE102" s="294"/>
      <c r="AF102" s="294"/>
    </row>
    <row r="103" spans="1:32" ht="16" thickBot="1">
      <c r="A103" s="316"/>
      <c r="B103" s="284"/>
      <c r="C103" s="284"/>
      <c r="D103" s="156" t="s">
        <v>192</v>
      </c>
      <c r="E103" s="122">
        <f>-E124</f>
        <v>100</v>
      </c>
      <c r="F103" s="123">
        <f>-F124</f>
        <v>0</v>
      </c>
      <c r="G103" s="325" t="s">
        <v>193</v>
      </c>
      <c r="H103" s="326"/>
      <c r="I103" s="150"/>
      <c r="J103" s="150"/>
      <c r="K103" s="288"/>
      <c r="L103" s="290"/>
      <c r="M103" s="292"/>
      <c r="N103" s="297"/>
      <c r="O103" s="288"/>
      <c r="P103" s="299"/>
      <c r="Q103" s="292"/>
      <c r="R103" s="302"/>
      <c r="S103" s="288"/>
      <c r="T103" s="299"/>
      <c r="U103" s="292"/>
      <c r="V103" s="302"/>
      <c r="AD103" s="294"/>
      <c r="AE103" s="294"/>
      <c r="AF103" s="294"/>
    </row>
    <row r="104" spans="1:32" ht="15" thickBot="1">
      <c r="A104" s="316"/>
      <c r="B104" s="284"/>
      <c r="C104" s="284"/>
      <c r="D104" s="146" t="s">
        <v>194</v>
      </c>
      <c r="E104" s="122">
        <f>VLOOKUP(D104,履修状況!$A$4:$AH$60,25,FALSE)</f>
        <v>0</v>
      </c>
      <c r="F104" s="123">
        <f>VLOOKUP(D104,履修状況!$A$4:$AH$60,33,FALSE)</f>
        <v>0</v>
      </c>
      <c r="G104" s="304"/>
      <c r="H104" s="305"/>
      <c r="I104" s="124"/>
      <c r="J104" s="124"/>
      <c r="K104" s="288"/>
      <c r="L104" s="290"/>
      <c r="M104" s="292"/>
      <c r="N104" s="297"/>
      <c r="O104" s="288"/>
      <c r="P104" s="299"/>
      <c r="Q104" s="292"/>
      <c r="R104" s="302"/>
      <c r="S104" s="288"/>
      <c r="T104" s="299"/>
      <c r="U104" s="292"/>
      <c r="V104" s="302"/>
      <c r="AD104" s="294"/>
      <c r="AE104" s="294"/>
      <c r="AF104" s="294"/>
    </row>
    <row r="105" spans="1:32" ht="15" thickBot="1">
      <c r="A105" s="316"/>
      <c r="B105" s="284"/>
      <c r="C105" s="284"/>
      <c r="D105" s="146" t="s">
        <v>195</v>
      </c>
      <c r="E105" s="122">
        <f>VLOOKUP(D105,履修状況!$A$4:$AH$60,25,FALSE)</f>
        <v>0</v>
      </c>
      <c r="F105" s="123">
        <f>VLOOKUP(D105,履修状況!$A$4:$AH$60,33,FALSE)</f>
        <v>0</v>
      </c>
      <c r="G105" s="304"/>
      <c r="H105" s="305"/>
      <c r="I105" s="124"/>
      <c r="J105" s="124"/>
      <c r="K105" s="288"/>
      <c r="L105" s="290"/>
      <c r="M105" s="292"/>
      <c r="N105" s="297"/>
      <c r="O105" s="288"/>
      <c r="P105" s="299"/>
      <c r="Q105" s="292"/>
      <c r="R105" s="302"/>
      <c r="S105" s="288"/>
      <c r="T105" s="299"/>
      <c r="U105" s="292"/>
      <c r="V105" s="302"/>
      <c r="AD105" s="294"/>
      <c r="AE105" s="294"/>
      <c r="AF105" s="294"/>
    </row>
    <row r="106" spans="1:32" ht="15" thickBot="1">
      <c r="A106" s="316"/>
      <c r="B106" s="284"/>
      <c r="C106" s="284"/>
      <c r="D106" s="146" t="s">
        <v>196</v>
      </c>
      <c r="E106" s="122">
        <f>VLOOKUP(D106,履修状況!$A$4:$AH$60,25,FALSE)</f>
        <v>0</v>
      </c>
      <c r="F106" s="123">
        <f>VLOOKUP(D106,履修状況!$A$4:$AH$60,33,FALSE)</f>
        <v>0</v>
      </c>
      <c r="G106" s="304"/>
      <c r="H106" s="305"/>
      <c r="I106" s="124"/>
      <c r="J106" s="124"/>
      <c r="K106" s="288"/>
      <c r="L106" s="290"/>
      <c r="M106" s="292"/>
      <c r="N106" s="297"/>
      <c r="O106" s="288"/>
      <c r="P106" s="299"/>
      <c r="Q106" s="292"/>
      <c r="R106" s="302"/>
      <c r="S106" s="288"/>
      <c r="T106" s="299"/>
      <c r="U106" s="292"/>
      <c r="V106" s="302"/>
      <c r="AD106" s="294"/>
      <c r="AE106" s="294"/>
      <c r="AF106" s="294"/>
    </row>
    <row r="107" spans="1:32" ht="15" thickBot="1">
      <c r="A107" s="316"/>
      <c r="B107" s="284"/>
      <c r="C107" s="284"/>
      <c r="D107" s="146" t="s">
        <v>197</v>
      </c>
      <c r="E107" s="122">
        <f>VLOOKUP(D107,履修状況!$A$4:$AH$60,25,FALSE)</f>
        <v>0</v>
      </c>
      <c r="F107" s="123">
        <f>VLOOKUP(D107,履修状況!$A$4:$AH$60,33,FALSE)</f>
        <v>0</v>
      </c>
      <c r="G107" s="304"/>
      <c r="H107" s="305"/>
      <c r="I107" s="124"/>
      <c r="J107" s="124"/>
      <c r="K107" s="289"/>
      <c r="L107" s="290"/>
      <c r="M107" s="293"/>
      <c r="N107" s="297"/>
      <c r="O107" s="288"/>
      <c r="P107" s="299"/>
      <c r="Q107" s="292"/>
      <c r="R107" s="302"/>
      <c r="S107" s="288"/>
      <c r="T107" s="299"/>
      <c r="U107" s="292"/>
      <c r="V107" s="302"/>
      <c r="AD107" s="294"/>
      <c r="AE107" s="294"/>
      <c r="AF107" s="294"/>
    </row>
    <row r="108" spans="1:32" ht="27" customHeight="1" thickBot="1">
      <c r="A108" s="316"/>
      <c r="B108" s="284"/>
      <c r="C108" s="284" t="s">
        <v>198</v>
      </c>
      <c r="D108" s="146" t="s">
        <v>51</v>
      </c>
      <c r="E108" s="122">
        <f>VLOOKUP(D108,履修状況!$A$4:$AH$60,25,FALSE)</f>
        <v>150</v>
      </c>
      <c r="F108" s="123">
        <f>VLOOKUP(D108,履修状況!$A$4:$AH$60,33,FALSE)</f>
        <v>0</v>
      </c>
      <c r="G108" s="285" t="s">
        <v>199</v>
      </c>
      <c r="H108" s="286"/>
      <c r="I108" s="124"/>
      <c r="J108" s="124"/>
      <c r="K108" s="287">
        <f>L108-AD108</f>
        <v>150</v>
      </c>
      <c r="L108" s="290">
        <f>SUM(E108:E111,I108:I111)</f>
        <v>300</v>
      </c>
      <c r="M108" s="291">
        <f>N108-AD108</f>
        <v>150</v>
      </c>
      <c r="N108" s="297">
        <f>SUM(F108:F111,J108:J111,L108)</f>
        <v>300</v>
      </c>
      <c r="O108" s="288"/>
      <c r="P108" s="299"/>
      <c r="Q108" s="292"/>
      <c r="R108" s="302"/>
      <c r="S108" s="288"/>
      <c r="T108" s="299"/>
      <c r="U108" s="292"/>
      <c r="V108" s="302"/>
      <c r="AD108" s="294">
        <f>基準表!F17</f>
        <v>150</v>
      </c>
      <c r="AE108" s="294"/>
      <c r="AF108" s="294"/>
    </row>
    <row r="109" spans="1:32" ht="15" thickBot="1">
      <c r="A109" s="316"/>
      <c r="B109" s="284"/>
      <c r="C109" s="284"/>
      <c r="D109" s="146" t="s">
        <v>52</v>
      </c>
      <c r="E109" s="122">
        <f>VLOOKUP(D109,履修状況!$A$4:$AH$60,25,FALSE)</f>
        <v>0</v>
      </c>
      <c r="F109" s="123">
        <f>VLOOKUP(D109,履修状況!$A$4:$AH$60,33,FALSE)</f>
        <v>0</v>
      </c>
      <c r="G109" s="304"/>
      <c r="H109" s="305"/>
      <c r="I109" s="124"/>
      <c r="J109" s="124"/>
      <c r="K109" s="288"/>
      <c r="L109" s="290"/>
      <c r="M109" s="292"/>
      <c r="N109" s="297"/>
      <c r="O109" s="288"/>
      <c r="P109" s="299"/>
      <c r="Q109" s="292"/>
      <c r="R109" s="302"/>
      <c r="S109" s="288"/>
      <c r="T109" s="299"/>
      <c r="U109" s="292"/>
      <c r="V109" s="302"/>
      <c r="AD109" s="294"/>
      <c r="AE109" s="294"/>
      <c r="AF109" s="294"/>
    </row>
    <row r="110" spans="1:32" ht="15" thickBot="1">
      <c r="A110" s="316"/>
      <c r="B110" s="284"/>
      <c r="C110" s="284"/>
      <c r="D110" s="146" t="s">
        <v>55</v>
      </c>
      <c r="E110" s="122">
        <f>VLOOKUP(D110,履修状況!$A$4:$AH$60,25,FALSE)</f>
        <v>150</v>
      </c>
      <c r="F110" s="123">
        <f>VLOOKUP(D110,履修状況!$A$4:$AH$60,33,FALSE)</f>
        <v>0</v>
      </c>
      <c r="G110" s="304"/>
      <c r="H110" s="305"/>
      <c r="I110" s="124"/>
      <c r="J110" s="124"/>
      <c r="K110" s="288"/>
      <c r="L110" s="290"/>
      <c r="M110" s="292"/>
      <c r="N110" s="297"/>
      <c r="O110" s="288"/>
      <c r="P110" s="299"/>
      <c r="Q110" s="292"/>
      <c r="R110" s="302"/>
      <c r="S110" s="288"/>
      <c r="T110" s="299"/>
      <c r="U110" s="292"/>
      <c r="V110" s="302"/>
      <c r="AD110" s="294"/>
      <c r="AE110" s="294"/>
      <c r="AF110" s="294"/>
    </row>
    <row r="111" spans="1:32" ht="16" thickBot="1">
      <c r="A111" s="316"/>
      <c r="B111" s="284"/>
      <c r="C111" s="284"/>
      <c r="D111" s="136" t="s">
        <v>200</v>
      </c>
      <c r="E111" s="124"/>
      <c r="F111" s="124"/>
      <c r="G111" s="304"/>
      <c r="H111" s="305"/>
      <c r="I111" s="124"/>
      <c r="J111" s="124"/>
      <c r="K111" s="289"/>
      <c r="L111" s="290"/>
      <c r="M111" s="293"/>
      <c r="N111" s="297"/>
      <c r="O111" s="288"/>
      <c r="P111" s="299"/>
      <c r="Q111" s="292"/>
      <c r="R111" s="302"/>
      <c r="S111" s="288"/>
      <c r="T111" s="299"/>
      <c r="U111" s="292"/>
      <c r="V111" s="302"/>
      <c r="AD111" s="294"/>
      <c r="AE111" s="294"/>
      <c r="AF111" s="294"/>
    </row>
    <row r="112" spans="1:32" ht="27" customHeight="1" thickBot="1">
      <c r="A112" s="316"/>
      <c r="B112" s="284"/>
      <c r="C112" s="284" t="s">
        <v>201</v>
      </c>
      <c r="D112" s="116" t="s">
        <v>99</v>
      </c>
      <c r="E112" s="122">
        <f>VLOOKUP(D112,履修状況!$A$4:$AH$60,25,FALSE)</f>
        <v>100</v>
      </c>
      <c r="F112" s="123">
        <f>VLOOKUP(D112,履修状況!$A$4:$AH$60,33,FALSE)</f>
        <v>0</v>
      </c>
      <c r="G112" s="285" t="s">
        <v>202</v>
      </c>
      <c r="H112" s="286"/>
      <c r="I112" s="124"/>
      <c r="J112" s="124"/>
      <c r="K112" s="287">
        <f>L112-AD112</f>
        <v>50</v>
      </c>
      <c r="L112" s="290">
        <f>SUM(E112:E124,I112:I124)</f>
        <v>650</v>
      </c>
      <c r="M112" s="291">
        <f>N112-AD112</f>
        <v>150</v>
      </c>
      <c r="N112" s="297">
        <f>SUM(F112:F124,J112:J124,L112)</f>
        <v>750</v>
      </c>
      <c r="O112" s="288"/>
      <c r="P112" s="299"/>
      <c r="Q112" s="292"/>
      <c r="R112" s="302"/>
      <c r="S112" s="288"/>
      <c r="T112" s="299"/>
      <c r="U112" s="292"/>
      <c r="V112" s="302"/>
      <c r="AD112" s="294">
        <f>基準表!F18</f>
        <v>600</v>
      </c>
      <c r="AE112" s="294"/>
      <c r="AF112" s="294"/>
    </row>
    <row r="113" spans="1:32" ht="16" thickBot="1">
      <c r="A113" s="316"/>
      <c r="B113" s="284"/>
      <c r="C113" s="284"/>
      <c r="D113" s="116" t="s">
        <v>132</v>
      </c>
      <c r="E113" s="122">
        <f>VLOOKUP(D113,履修状況!$A$4:$AH$60,25,FALSE)</f>
        <v>0</v>
      </c>
      <c r="F113" s="123">
        <f>VLOOKUP(D113,履修状況!$A$4:$AH$60,33,FALSE)</f>
        <v>100</v>
      </c>
      <c r="G113" s="304"/>
      <c r="H113" s="305"/>
      <c r="I113" s="124"/>
      <c r="J113" s="124"/>
      <c r="K113" s="288"/>
      <c r="L113" s="290"/>
      <c r="M113" s="292"/>
      <c r="N113" s="297"/>
      <c r="O113" s="288"/>
      <c r="P113" s="299"/>
      <c r="Q113" s="292"/>
      <c r="R113" s="302"/>
      <c r="S113" s="288"/>
      <c r="T113" s="299"/>
      <c r="U113" s="292"/>
      <c r="V113" s="302"/>
      <c r="AD113" s="294"/>
      <c r="AE113" s="294"/>
      <c r="AF113" s="294"/>
    </row>
    <row r="114" spans="1:32" ht="15" thickBot="1">
      <c r="A114" s="316"/>
      <c r="B114" s="284"/>
      <c r="C114" s="284"/>
      <c r="D114" s="146" t="s">
        <v>203</v>
      </c>
      <c r="E114" s="122">
        <f>VLOOKUP(D114,履修状況!$A$4:$AH$60,25,FALSE)</f>
        <v>0</v>
      </c>
      <c r="F114" s="123">
        <f>VLOOKUP(D114,履修状況!$A$4:$AH$60,33,FALSE)</f>
        <v>0</v>
      </c>
      <c r="G114" s="304"/>
      <c r="H114" s="305"/>
      <c r="I114" s="124"/>
      <c r="J114" s="124"/>
      <c r="K114" s="288"/>
      <c r="L114" s="290"/>
      <c r="M114" s="292"/>
      <c r="N114" s="297"/>
      <c r="O114" s="288"/>
      <c r="P114" s="299"/>
      <c r="Q114" s="292"/>
      <c r="R114" s="302"/>
      <c r="S114" s="288"/>
      <c r="T114" s="299"/>
      <c r="U114" s="292"/>
      <c r="V114" s="302"/>
      <c r="AD114" s="294"/>
      <c r="AE114" s="294"/>
      <c r="AF114" s="294"/>
    </row>
    <row r="115" spans="1:32" ht="15" thickBot="1">
      <c r="A115" s="316"/>
      <c r="B115" s="284"/>
      <c r="C115" s="284"/>
      <c r="D115" s="146" t="s">
        <v>39</v>
      </c>
      <c r="E115" s="122">
        <f>VLOOKUP(D115,履修状況!$A$4:$AH$60,25,FALSE)</f>
        <v>0</v>
      </c>
      <c r="F115" s="123">
        <f>VLOOKUP(D115,履修状況!$A$4:$AH$60,33,FALSE)</f>
        <v>0</v>
      </c>
      <c r="G115" s="304"/>
      <c r="H115" s="305"/>
      <c r="I115" s="124"/>
      <c r="J115" s="124"/>
      <c r="K115" s="288"/>
      <c r="L115" s="290"/>
      <c r="M115" s="292"/>
      <c r="N115" s="297"/>
      <c r="O115" s="288"/>
      <c r="P115" s="299"/>
      <c r="Q115" s="292"/>
      <c r="R115" s="302"/>
      <c r="S115" s="288"/>
      <c r="T115" s="299"/>
      <c r="U115" s="292"/>
      <c r="V115" s="302"/>
      <c r="AD115" s="294"/>
      <c r="AE115" s="294"/>
      <c r="AF115" s="294"/>
    </row>
    <row r="116" spans="1:32" ht="15" thickBot="1">
      <c r="A116" s="316"/>
      <c r="B116" s="284"/>
      <c r="C116" s="284"/>
      <c r="D116" s="146" t="s">
        <v>44</v>
      </c>
      <c r="E116" s="122">
        <f>VLOOKUP(D116,履修状況!$A$4:$AH$60,25,FALSE)</f>
        <v>0</v>
      </c>
      <c r="F116" s="123">
        <f>VLOOKUP(D116,履修状況!$A$4:$AH$60,33,FALSE)</f>
        <v>0</v>
      </c>
      <c r="G116" s="304"/>
      <c r="H116" s="305"/>
      <c r="I116" s="124"/>
      <c r="J116" s="124"/>
      <c r="K116" s="288"/>
      <c r="L116" s="290"/>
      <c r="M116" s="292"/>
      <c r="N116" s="297"/>
      <c r="O116" s="288"/>
      <c r="P116" s="299"/>
      <c r="Q116" s="292"/>
      <c r="R116" s="302"/>
      <c r="S116" s="288"/>
      <c r="T116" s="299"/>
      <c r="U116" s="292"/>
      <c r="V116" s="302"/>
      <c r="AD116" s="294"/>
      <c r="AE116" s="294"/>
      <c r="AF116" s="294"/>
    </row>
    <row r="117" spans="1:32" ht="15" thickBot="1">
      <c r="A117" s="316"/>
      <c r="B117" s="284"/>
      <c r="C117" s="284"/>
      <c r="D117" s="157" t="s">
        <v>57</v>
      </c>
      <c r="E117" s="122">
        <f>VLOOKUP(D117,履修状況!$A$4:$AH$60,25,FALSE)</f>
        <v>0</v>
      </c>
      <c r="F117" s="123">
        <f>VLOOKUP(D117,履修状況!$A$4:$AH$60,33,FALSE)</f>
        <v>0</v>
      </c>
      <c r="G117" s="304"/>
      <c r="H117" s="305"/>
      <c r="I117" s="124"/>
      <c r="J117" s="124"/>
      <c r="K117" s="288"/>
      <c r="L117" s="290"/>
      <c r="M117" s="292"/>
      <c r="N117" s="297"/>
      <c r="O117" s="288"/>
      <c r="P117" s="299"/>
      <c r="Q117" s="292"/>
      <c r="R117" s="302"/>
      <c r="S117" s="288"/>
      <c r="T117" s="299"/>
      <c r="U117" s="292"/>
      <c r="V117" s="302"/>
      <c r="AD117" s="294"/>
      <c r="AE117" s="294"/>
      <c r="AF117" s="294"/>
    </row>
    <row r="118" spans="1:32" ht="15" thickBot="1">
      <c r="A118" s="316"/>
      <c r="B118" s="284"/>
      <c r="C118" s="284"/>
      <c r="D118" s="157" t="s">
        <v>60</v>
      </c>
      <c r="E118" s="122">
        <f>VLOOKUP(D118,履修状況!$A$4:$AH$60,25,FALSE)</f>
        <v>50</v>
      </c>
      <c r="F118" s="123">
        <f>VLOOKUP(D118,履修状況!$A$4:$AH$60,33,FALSE)</f>
        <v>0</v>
      </c>
      <c r="G118" s="304"/>
      <c r="H118" s="305"/>
      <c r="I118" s="124"/>
      <c r="J118" s="124"/>
      <c r="K118" s="288"/>
      <c r="L118" s="290"/>
      <c r="M118" s="292"/>
      <c r="N118" s="297"/>
      <c r="O118" s="288"/>
      <c r="P118" s="299"/>
      <c r="Q118" s="292"/>
      <c r="R118" s="302"/>
      <c r="S118" s="288"/>
      <c r="T118" s="299"/>
      <c r="U118" s="292"/>
      <c r="V118" s="302"/>
      <c r="AD118" s="294"/>
      <c r="AE118" s="294"/>
      <c r="AF118" s="294"/>
    </row>
    <row r="119" spans="1:32" ht="16" thickBot="1">
      <c r="A119" s="316"/>
      <c r="B119" s="284"/>
      <c r="C119" s="284"/>
      <c r="D119" s="158" t="str">
        <f>履修状況!A33</f>
        <v>（例）ロボット制御論</v>
      </c>
      <c r="E119" s="122">
        <f>VLOOKUP(D119,履修状況!$A$4:$AH$60,25,FALSE)</f>
        <v>200</v>
      </c>
      <c r="F119" s="123">
        <f>VLOOKUP(D119,履修状況!$A$4:$AH$60,33,FALSE)</f>
        <v>0</v>
      </c>
      <c r="G119" s="327" t="s">
        <v>204</v>
      </c>
      <c r="H119" s="328"/>
      <c r="I119" s="159"/>
      <c r="J119" s="159"/>
      <c r="K119" s="288"/>
      <c r="L119" s="290"/>
      <c r="M119" s="292"/>
      <c r="N119" s="297"/>
      <c r="O119" s="288"/>
      <c r="P119" s="299"/>
      <c r="Q119" s="292"/>
      <c r="R119" s="302"/>
      <c r="S119" s="288"/>
      <c r="T119" s="299"/>
      <c r="U119" s="292"/>
      <c r="V119" s="302"/>
      <c r="AD119" s="294"/>
      <c r="AE119" s="294"/>
      <c r="AF119" s="294"/>
    </row>
    <row r="120" spans="1:32" ht="16" thickBot="1">
      <c r="A120" s="316"/>
      <c r="B120" s="284"/>
      <c r="C120" s="284"/>
      <c r="D120" s="158" t="str">
        <f>履修状況!A34</f>
        <v xml:space="preserve">	（例）運動制御論</v>
      </c>
      <c r="E120" s="122">
        <f>VLOOKUP(D120,履修状況!$A$4:$AH$60,25,FALSE)</f>
        <v>200</v>
      </c>
      <c r="F120" s="123">
        <f>VLOOKUP(D120,履修状況!$A$4:$AH$60,33,FALSE)</f>
        <v>0</v>
      </c>
      <c r="G120" s="329"/>
      <c r="H120" s="330"/>
      <c r="I120" s="159"/>
      <c r="J120" s="159"/>
      <c r="K120" s="288"/>
      <c r="L120" s="290"/>
      <c r="M120" s="292"/>
      <c r="N120" s="297"/>
      <c r="O120" s="288"/>
      <c r="P120" s="299"/>
      <c r="Q120" s="292"/>
      <c r="R120" s="302"/>
      <c r="S120" s="288"/>
      <c r="T120" s="299"/>
      <c r="U120" s="292"/>
      <c r="V120" s="302"/>
      <c r="AD120" s="294"/>
      <c r="AE120" s="294"/>
      <c r="AF120" s="294"/>
    </row>
    <row r="121" spans="1:32" ht="16" thickBot="1">
      <c r="A121" s="316"/>
      <c r="B121" s="284"/>
      <c r="C121" s="284"/>
      <c r="D121" s="158" t="str">
        <f>履修状況!A35</f>
        <v>（例）システムモデリング</v>
      </c>
      <c r="E121" s="122">
        <f>VLOOKUP(D121,履修状況!$A$4:$AH$60,25,FALSE)</f>
        <v>200</v>
      </c>
      <c r="F121" s="123">
        <f>VLOOKUP(D121,履修状況!$A$4:$AH$60,33,FALSE)</f>
        <v>0</v>
      </c>
      <c r="G121" s="329"/>
      <c r="H121" s="330"/>
      <c r="I121" s="159"/>
      <c r="J121" s="159"/>
      <c r="K121" s="288"/>
      <c r="L121" s="290"/>
      <c r="M121" s="292"/>
      <c r="N121" s="297"/>
      <c r="O121" s="288"/>
      <c r="P121" s="299"/>
      <c r="Q121" s="292"/>
      <c r="R121" s="302"/>
      <c r="S121" s="288"/>
      <c r="T121" s="299"/>
      <c r="U121" s="292"/>
      <c r="V121" s="302"/>
      <c r="AD121" s="294"/>
      <c r="AE121" s="294"/>
      <c r="AF121" s="294"/>
    </row>
    <row r="122" spans="1:32" ht="16" thickBot="1">
      <c r="A122" s="316"/>
      <c r="B122" s="284"/>
      <c r="C122" s="284"/>
      <c r="D122" s="158" t="str">
        <f>履修状況!A36</f>
        <v>研究群共通科目4（知能機能システム関連科目）</v>
      </c>
      <c r="E122" s="122">
        <f>VLOOKUP(D122,履修状況!$A$4:$AH$60,25,FALSE)</f>
        <v>0</v>
      </c>
      <c r="F122" s="123">
        <f>VLOOKUP(D122,履修状況!$A$4:$AH$60,33,FALSE)</f>
        <v>0</v>
      </c>
      <c r="G122" s="329"/>
      <c r="H122" s="330"/>
      <c r="I122" s="159"/>
      <c r="J122" s="159"/>
      <c r="K122" s="288"/>
      <c r="L122" s="290"/>
      <c r="M122" s="292"/>
      <c r="N122" s="297"/>
      <c r="O122" s="288"/>
      <c r="P122" s="299"/>
      <c r="Q122" s="292"/>
      <c r="R122" s="302"/>
      <c r="S122" s="288"/>
      <c r="T122" s="299"/>
      <c r="U122" s="292"/>
      <c r="V122" s="302"/>
      <c r="AD122" s="294"/>
      <c r="AE122" s="294"/>
      <c r="AF122" s="294"/>
    </row>
    <row r="123" spans="1:32" ht="16" thickBot="1">
      <c r="A123" s="316"/>
      <c r="B123" s="284"/>
      <c r="C123" s="284"/>
      <c r="D123" s="158" t="str">
        <f>履修状況!A37</f>
        <v>研究群共通科目5（知能機能システム関連科目）</v>
      </c>
      <c r="E123" s="122">
        <f>VLOOKUP(D123,履修状況!$A$4:$AH$60,25,FALSE)</f>
        <v>0</v>
      </c>
      <c r="F123" s="123">
        <f>VLOOKUP(D123,履修状況!$A$4:$AH$60,33,FALSE)</f>
        <v>0</v>
      </c>
      <c r="G123" s="329"/>
      <c r="H123" s="330"/>
      <c r="I123" s="159"/>
      <c r="J123" s="159"/>
      <c r="K123" s="288"/>
      <c r="L123" s="290"/>
      <c r="M123" s="292"/>
      <c r="N123" s="297"/>
      <c r="O123" s="288"/>
      <c r="P123" s="299"/>
      <c r="Q123" s="292"/>
      <c r="R123" s="302"/>
      <c r="S123" s="288"/>
      <c r="T123" s="299"/>
      <c r="U123" s="292"/>
      <c r="V123" s="302"/>
      <c r="AD123" s="294"/>
      <c r="AE123" s="294"/>
      <c r="AF123" s="294"/>
    </row>
    <row r="124" spans="1:32" ht="16" thickBot="1">
      <c r="A124" s="316"/>
      <c r="B124" s="284"/>
      <c r="C124" s="284"/>
      <c r="D124" s="160" t="s">
        <v>205</v>
      </c>
      <c r="E124" s="124">
        <v>-100</v>
      </c>
      <c r="F124" s="124"/>
      <c r="G124" s="331"/>
      <c r="H124" s="332"/>
      <c r="I124" s="159"/>
      <c r="J124" s="159"/>
      <c r="K124" s="289"/>
      <c r="L124" s="290"/>
      <c r="M124" s="293"/>
      <c r="N124" s="297"/>
      <c r="O124" s="289"/>
      <c r="P124" s="300"/>
      <c r="Q124" s="293"/>
      <c r="R124" s="303"/>
      <c r="S124" s="288"/>
      <c r="T124" s="299"/>
      <c r="U124" s="292"/>
      <c r="V124" s="302"/>
      <c r="AD124" s="294"/>
      <c r="AE124" s="294"/>
      <c r="AF124" s="294"/>
    </row>
    <row r="125" spans="1:32" ht="13.5" customHeight="1" thickBot="1">
      <c r="A125" s="316"/>
      <c r="B125" s="333" t="s">
        <v>206</v>
      </c>
      <c r="C125" s="284" t="s">
        <v>207</v>
      </c>
      <c r="D125" s="116" t="s">
        <v>99</v>
      </c>
      <c r="E125" s="122">
        <f>VLOOKUP(D125,履修状況!$A$4:$AH$60,26,FALSE)</f>
        <v>30</v>
      </c>
      <c r="F125" s="123">
        <f>VLOOKUP(D125,履修状況!$A$4:$AH$60,34,FALSE)</f>
        <v>0</v>
      </c>
      <c r="G125" s="285" t="s">
        <v>208</v>
      </c>
      <c r="H125" s="286"/>
      <c r="I125" s="124">
        <v>40</v>
      </c>
      <c r="J125" s="124"/>
      <c r="K125" s="287">
        <f>L125-AD125</f>
        <v>-30</v>
      </c>
      <c r="L125" s="290">
        <f>SUM(E125:E126,I125:I126)</f>
        <v>70</v>
      </c>
      <c r="M125" s="291">
        <f>N125-AD125</f>
        <v>0</v>
      </c>
      <c r="N125" s="297">
        <f>SUM(F125:F126,J125:J126,L125)</f>
        <v>100</v>
      </c>
      <c r="O125" s="287">
        <f>MIN(K125,K127,P125-AE125)</f>
        <v>-30</v>
      </c>
      <c r="P125" s="298">
        <f>L125+L127</f>
        <v>100</v>
      </c>
      <c r="Q125" s="291">
        <f>MIN(M125,M127,R125-AE125)</f>
        <v>0</v>
      </c>
      <c r="R125" s="301">
        <f>N125+N127</f>
        <v>130</v>
      </c>
      <c r="S125" s="288"/>
      <c r="T125" s="299"/>
      <c r="U125" s="292"/>
      <c r="V125" s="302"/>
      <c r="AD125" s="294">
        <f>基準表!F19</f>
        <v>100</v>
      </c>
      <c r="AE125" s="294">
        <f>基準表!G19</f>
        <v>130</v>
      </c>
      <c r="AF125" s="294"/>
    </row>
    <row r="126" spans="1:32" ht="16" thickBot="1">
      <c r="A126" s="316"/>
      <c r="B126" s="334"/>
      <c r="C126" s="284"/>
      <c r="D126" s="116" t="s">
        <v>132</v>
      </c>
      <c r="E126" s="122">
        <f>VLOOKUP(D126,履修状況!$A$4:$AH$60,26,FALSE)</f>
        <v>0</v>
      </c>
      <c r="F126" s="123">
        <f>VLOOKUP(D126,履修状況!$A$4:$AH$60,34,FALSE)</f>
        <v>30</v>
      </c>
      <c r="G126" s="304"/>
      <c r="H126" s="305"/>
      <c r="I126" s="124"/>
      <c r="J126" s="124"/>
      <c r="K126" s="289"/>
      <c r="L126" s="290"/>
      <c r="M126" s="293"/>
      <c r="N126" s="297"/>
      <c r="O126" s="288"/>
      <c r="P126" s="299"/>
      <c r="Q126" s="292"/>
      <c r="R126" s="302"/>
      <c r="S126" s="288"/>
      <c r="T126" s="299"/>
      <c r="U126" s="292"/>
      <c r="V126" s="302"/>
      <c r="AD126" s="294"/>
      <c r="AE126" s="294"/>
      <c r="AF126" s="294"/>
    </row>
    <row r="127" spans="1:32" ht="16" thickBot="1">
      <c r="A127" s="316"/>
      <c r="B127" s="334"/>
      <c r="C127" s="333" t="s">
        <v>209</v>
      </c>
      <c r="D127" s="116" t="s">
        <v>181</v>
      </c>
      <c r="E127" s="122">
        <f>VLOOKUP(D127,履修状況!$A$4:$AH$60,26,FALSE)</f>
        <v>30</v>
      </c>
      <c r="F127" s="123">
        <f>VLOOKUP(D127,履修状況!$A$4:$AH$60,34,FALSE)</f>
        <v>0</v>
      </c>
      <c r="G127" s="285" t="s">
        <v>210</v>
      </c>
      <c r="H127" s="286"/>
      <c r="I127" s="124"/>
      <c r="J127" s="124"/>
      <c r="K127" s="287">
        <f>L127-AD127</f>
        <v>0</v>
      </c>
      <c r="L127" s="290">
        <f>SUM(E127:E128,I127:I128)</f>
        <v>30</v>
      </c>
      <c r="M127" s="291">
        <f>N127-AD127</f>
        <v>0</v>
      </c>
      <c r="N127" s="301">
        <f>SUM(F127:F128,J127:J128,L127)</f>
        <v>30</v>
      </c>
      <c r="O127" s="288"/>
      <c r="P127" s="299"/>
      <c r="Q127" s="292"/>
      <c r="R127" s="302"/>
      <c r="S127" s="288"/>
      <c r="T127" s="299"/>
      <c r="U127" s="292"/>
      <c r="V127" s="302"/>
      <c r="AD127" s="294">
        <f>基準表!F20</f>
        <v>30</v>
      </c>
      <c r="AE127" s="294"/>
      <c r="AF127" s="294"/>
    </row>
    <row r="128" spans="1:32" ht="30.75" customHeight="1" thickBot="1">
      <c r="A128" s="317"/>
      <c r="B128" s="335"/>
      <c r="C128" s="335"/>
      <c r="D128" s="146" t="s">
        <v>44</v>
      </c>
      <c r="E128" s="122">
        <f>VLOOKUP(D128,履修状況!$A$4:$AH$60,26,FALSE)</f>
        <v>0</v>
      </c>
      <c r="F128" s="123">
        <f>VLOOKUP(D128,履修状況!$A$4:$AH$60,34,FALSE)</f>
        <v>0</v>
      </c>
      <c r="G128" s="304"/>
      <c r="H128" s="305"/>
      <c r="I128" s="161"/>
      <c r="J128" s="161"/>
      <c r="K128" s="289"/>
      <c r="L128" s="290"/>
      <c r="M128" s="293"/>
      <c r="N128" s="303"/>
      <c r="O128" s="289"/>
      <c r="P128" s="300"/>
      <c r="Q128" s="293"/>
      <c r="R128" s="303"/>
      <c r="S128" s="289"/>
      <c r="T128" s="300"/>
      <c r="U128" s="293"/>
      <c r="V128" s="303"/>
      <c r="AD128" s="294"/>
      <c r="AE128" s="294"/>
      <c r="AF128" s="294"/>
    </row>
    <row r="129" spans="2:32" ht="30" customHeight="1">
      <c r="B129" s="1"/>
      <c r="C129" s="1" t="s">
        <v>211</v>
      </c>
      <c r="D129" s="1"/>
      <c r="E129" s="339" t="s">
        <v>298</v>
      </c>
      <c r="F129" s="2"/>
      <c r="G129" s="1"/>
      <c r="H129" s="1"/>
      <c r="I129" s="1"/>
      <c r="J129" s="1"/>
      <c r="K129" s="336" t="s">
        <v>283</v>
      </c>
      <c r="L129" s="336"/>
      <c r="M129" s="336" t="s">
        <v>281</v>
      </c>
      <c r="N129" s="342"/>
      <c r="O129" s="339" t="s">
        <v>284</v>
      </c>
      <c r="P129" s="340"/>
      <c r="Q129" s="336" t="s">
        <v>282</v>
      </c>
      <c r="R129" s="336"/>
      <c r="S129" s="336" t="s">
        <v>285</v>
      </c>
      <c r="T129" s="342"/>
      <c r="U129" s="336" t="s">
        <v>282</v>
      </c>
      <c r="V129" s="336"/>
      <c r="AE129" s="162"/>
      <c r="AF129" s="162"/>
    </row>
    <row r="130" spans="2:32" ht="13.5" customHeight="1">
      <c r="B130" s="1"/>
      <c r="C130" s="1"/>
      <c r="D130" s="1"/>
      <c r="E130" s="390"/>
      <c r="F130" s="2"/>
      <c r="G130" s="343" t="s">
        <v>212</v>
      </c>
      <c r="H130" s="343"/>
      <c r="I130" s="343"/>
      <c r="J130" s="343"/>
      <c r="K130" s="337"/>
      <c r="L130" s="337"/>
      <c r="M130" s="344"/>
      <c r="N130" s="344"/>
      <c r="O130" s="341"/>
      <c r="P130" s="341"/>
      <c r="Q130" s="337"/>
      <c r="R130" s="337"/>
      <c r="S130" s="338"/>
      <c r="T130" s="338"/>
      <c r="U130" s="337"/>
      <c r="V130" s="337"/>
      <c r="AE130" s="162"/>
      <c r="AF130" s="162"/>
    </row>
    <row r="131" spans="2:32">
      <c r="B131" s="1"/>
      <c r="C131" s="1"/>
      <c r="D131" s="1"/>
      <c r="E131" s="390"/>
      <c r="F131" s="2"/>
      <c r="G131" s="3"/>
      <c r="H131" s="3"/>
      <c r="I131" s="3"/>
      <c r="J131" s="3"/>
      <c r="K131" s="337"/>
      <c r="L131" s="337"/>
      <c r="M131" s="3"/>
      <c r="O131" s="341"/>
      <c r="P131" s="341"/>
      <c r="Q131" s="337"/>
      <c r="R131" s="337"/>
      <c r="S131" s="338"/>
      <c r="T131" s="338"/>
      <c r="U131" s="337"/>
      <c r="V131" s="337"/>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O/9KvpCShnC21C3WGHecuEw2NocCWztcMhrH0EQuy4NQNubvIbTlVk8Ik4deo4C/9+MJJgdDhX/XsrA7frJaNg==" saltValue="ypzdBWMGLKAufMRd4LHykw==" spinCount="100000" sheet="1" formatCells="0" insertRows="0"/>
  <mergeCells count="304">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45" t="s">
        <v>278</v>
      </c>
      <c r="B1" s="345"/>
      <c r="C1" s="345"/>
      <c r="D1" s="345"/>
      <c r="E1" s="345"/>
      <c r="F1" s="345"/>
      <c r="G1" s="345"/>
      <c r="H1" s="345"/>
      <c r="I1" s="345"/>
      <c r="J1" s="345"/>
      <c r="K1" s="345"/>
      <c r="L1" s="345"/>
      <c r="M1" s="345"/>
      <c r="N1" s="345"/>
      <c r="O1" s="345"/>
      <c r="P1" s="163"/>
      <c r="Q1" s="346" t="s">
        <v>214</v>
      </c>
      <c r="R1" s="346"/>
      <c r="S1" s="346"/>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53" t="s">
        <v>274</v>
      </c>
      <c r="E3" s="353"/>
      <c r="F3" s="353"/>
      <c r="G3" s="354">
        <f>IF(履修状況!G2&lt;&gt;"",履修状況!G2,"")</f>
        <v>202012345</v>
      </c>
      <c r="H3" s="354"/>
      <c r="I3" s="354"/>
      <c r="J3" s="353" t="s">
        <v>275</v>
      </c>
      <c r="K3" s="353"/>
      <c r="L3" s="355" t="str">
        <f>IF(履修状況!L2&lt;&gt;"",履修状況!L2,"")</f>
        <v>小野妹子</v>
      </c>
      <c r="M3" s="355"/>
      <c r="N3" s="355"/>
      <c r="O3" s="356"/>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47" t="s">
        <v>215</v>
      </c>
      <c r="E5" s="348"/>
      <c r="F5" s="349" t="s">
        <v>216</v>
      </c>
      <c r="G5" s="350"/>
      <c r="H5" s="351" t="s">
        <v>86</v>
      </c>
      <c r="I5" s="352"/>
      <c r="J5" s="349" t="s">
        <v>87</v>
      </c>
      <c r="K5" s="350"/>
      <c r="L5" s="351" t="s">
        <v>88</v>
      </c>
      <c r="M5" s="352"/>
      <c r="N5" s="349" t="s">
        <v>89</v>
      </c>
      <c r="O5" s="350"/>
      <c r="P5" s="165"/>
      <c r="Q5" s="165" t="s">
        <v>217</v>
      </c>
      <c r="R5" s="165" t="s">
        <v>93</v>
      </c>
      <c r="S5" s="165" t="s">
        <v>94</v>
      </c>
    </row>
    <row r="6" spans="1:27" ht="33.75" customHeight="1">
      <c r="A6" s="358" t="s">
        <v>96</v>
      </c>
      <c r="B6" s="361" t="s">
        <v>218</v>
      </c>
      <c r="C6" s="166" t="s">
        <v>98</v>
      </c>
      <c r="D6" s="167">
        <f>集計表!K3</f>
        <v>-30</v>
      </c>
      <c r="E6" s="168">
        <f>集計表!L3</f>
        <v>30</v>
      </c>
      <c r="F6" s="169">
        <f>集計表!M3</f>
        <v>0</v>
      </c>
      <c r="G6" s="170">
        <f>集計表!N3</f>
        <v>60</v>
      </c>
      <c r="H6" s="363">
        <f>集計表!O3</f>
        <v>-70</v>
      </c>
      <c r="I6" s="364">
        <f>集計表!P3</f>
        <v>60</v>
      </c>
      <c r="J6" s="365">
        <f>集計表!Q3</f>
        <v>-10</v>
      </c>
      <c r="K6" s="366">
        <f>集計表!R3</f>
        <v>120</v>
      </c>
      <c r="L6" s="363">
        <f>集計表!S3</f>
        <v>-335</v>
      </c>
      <c r="M6" s="364">
        <f>集計表!T3</f>
        <v>415</v>
      </c>
      <c r="N6" s="365">
        <f>集計表!U3</f>
        <v>-40</v>
      </c>
      <c r="O6" s="366">
        <f>集計表!V3</f>
        <v>710</v>
      </c>
      <c r="P6" s="165"/>
      <c r="Q6" s="171">
        <v>60</v>
      </c>
      <c r="R6" s="357">
        <v>130</v>
      </c>
      <c r="S6" s="357">
        <v>750</v>
      </c>
    </row>
    <row r="7" spans="1:27" ht="33.75" customHeight="1" thickBot="1">
      <c r="A7" s="359"/>
      <c r="B7" s="362"/>
      <c r="C7" s="172" t="s">
        <v>110</v>
      </c>
      <c r="D7" s="173">
        <f>集計表!K6</f>
        <v>-30</v>
      </c>
      <c r="E7" s="174">
        <f>集計表!L6</f>
        <v>30</v>
      </c>
      <c r="F7" s="175">
        <f>集計表!M6</f>
        <v>0</v>
      </c>
      <c r="G7" s="176">
        <f>集計表!N6</f>
        <v>60</v>
      </c>
      <c r="H7" s="351"/>
      <c r="I7" s="352"/>
      <c r="J7" s="349"/>
      <c r="K7" s="350"/>
      <c r="L7" s="347"/>
      <c r="M7" s="348"/>
      <c r="N7" s="367"/>
      <c r="O7" s="368"/>
      <c r="P7" s="165"/>
      <c r="Q7" s="171">
        <v>60</v>
      </c>
      <c r="R7" s="357"/>
      <c r="S7" s="357"/>
    </row>
    <row r="8" spans="1:27" ht="33.75" customHeight="1">
      <c r="A8" s="359"/>
      <c r="B8" s="361" t="s">
        <v>219</v>
      </c>
      <c r="C8" s="166" t="s">
        <v>128</v>
      </c>
      <c r="D8" s="167">
        <f>集計表!K13</f>
        <v>-10</v>
      </c>
      <c r="E8" s="168">
        <f>集計表!L13</f>
        <v>50</v>
      </c>
      <c r="F8" s="169">
        <f>集計表!M13</f>
        <v>30</v>
      </c>
      <c r="G8" s="170">
        <f>集計表!N13</f>
        <v>90</v>
      </c>
      <c r="H8" s="363">
        <f>集計表!O13</f>
        <v>-50</v>
      </c>
      <c r="I8" s="364">
        <f>集計表!P13</f>
        <v>80</v>
      </c>
      <c r="J8" s="365">
        <f>集計表!Q13</f>
        <v>0</v>
      </c>
      <c r="K8" s="366">
        <f>集計表!R13</f>
        <v>150</v>
      </c>
      <c r="L8" s="347"/>
      <c r="M8" s="348"/>
      <c r="N8" s="367"/>
      <c r="O8" s="368"/>
      <c r="P8" s="165"/>
      <c r="Q8" s="171">
        <v>60</v>
      </c>
      <c r="R8" s="357">
        <v>130</v>
      </c>
      <c r="S8" s="357"/>
    </row>
    <row r="9" spans="1:27" ht="33.75" customHeight="1" thickBot="1">
      <c r="A9" s="359"/>
      <c r="B9" s="362"/>
      <c r="C9" s="172" t="s">
        <v>133</v>
      </c>
      <c r="D9" s="173">
        <f>集計表!K19</f>
        <v>-30</v>
      </c>
      <c r="E9" s="174">
        <f>集計表!L19</f>
        <v>30</v>
      </c>
      <c r="F9" s="175">
        <f>集計表!M19</f>
        <v>0</v>
      </c>
      <c r="G9" s="176">
        <f>集計表!N19</f>
        <v>60</v>
      </c>
      <c r="H9" s="351"/>
      <c r="I9" s="352"/>
      <c r="J9" s="349"/>
      <c r="K9" s="350"/>
      <c r="L9" s="347"/>
      <c r="M9" s="348"/>
      <c r="N9" s="367"/>
      <c r="O9" s="368"/>
      <c r="P9" s="165"/>
      <c r="Q9" s="171">
        <v>60</v>
      </c>
      <c r="R9" s="357"/>
      <c r="S9" s="357"/>
    </row>
    <row r="10" spans="1:27" ht="33.75" customHeight="1">
      <c r="A10" s="359"/>
      <c r="B10" s="361" t="s">
        <v>220</v>
      </c>
      <c r="C10" s="166" t="s">
        <v>144</v>
      </c>
      <c r="D10" s="167">
        <f>集計表!K28</f>
        <v>-30</v>
      </c>
      <c r="E10" s="168">
        <f>集計表!L28</f>
        <v>30</v>
      </c>
      <c r="F10" s="169">
        <f>集計表!M28</f>
        <v>0</v>
      </c>
      <c r="G10" s="170">
        <f>集計表!N28</f>
        <v>60</v>
      </c>
      <c r="H10" s="363">
        <f>集計表!O28</f>
        <v>-45</v>
      </c>
      <c r="I10" s="364">
        <f>集計表!P28</f>
        <v>85</v>
      </c>
      <c r="J10" s="365">
        <f>集計表!Q28</f>
        <v>0</v>
      </c>
      <c r="K10" s="366">
        <f>集計表!R28</f>
        <v>160</v>
      </c>
      <c r="L10" s="347"/>
      <c r="M10" s="348"/>
      <c r="N10" s="367"/>
      <c r="O10" s="368"/>
      <c r="P10" s="165"/>
      <c r="Q10" s="171">
        <v>60</v>
      </c>
      <c r="R10" s="357">
        <v>130</v>
      </c>
      <c r="S10" s="357"/>
    </row>
    <row r="11" spans="1:27" ht="33.75" customHeight="1" thickBot="1">
      <c r="A11" s="359"/>
      <c r="B11" s="362"/>
      <c r="C11" s="172" t="s">
        <v>148</v>
      </c>
      <c r="D11" s="173">
        <f>集計表!K31</f>
        <v>-5</v>
      </c>
      <c r="E11" s="174">
        <f>集計表!L31</f>
        <v>55</v>
      </c>
      <c r="F11" s="175">
        <f>集計表!M31</f>
        <v>40</v>
      </c>
      <c r="G11" s="176">
        <f>集計表!N31</f>
        <v>100</v>
      </c>
      <c r="H11" s="351"/>
      <c r="I11" s="352"/>
      <c r="J11" s="349"/>
      <c r="K11" s="350"/>
      <c r="L11" s="347"/>
      <c r="M11" s="348"/>
      <c r="N11" s="367"/>
      <c r="O11" s="368"/>
      <c r="P11" s="165"/>
      <c r="Q11" s="171">
        <v>60</v>
      </c>
      <c r="R11" s="357"/>
      <c r="S11" s="357"/>
    </row>
    <row r="12" spans="1:27" ht="33.75" customHeight="1">
      <c r="A12" s="359"/>
      <c r="B12" s="361" t="s">
        <v>221</v>
      </c>
      <c r="C12" s="166" t="s">
        <v>155</v>
      </c>
      <c r="D12" s="167">
        <f>集計表!K39</f>
        <v>-30</v>
      </c>
      <c r="E12" s="168">
        <f>集計表!L39</f>
        <v>30</v>
      </c>
      <c r="F12" s="169">
        <f>集計表!M39</f>
        <v>0</v>
      </c>
      <c r="G12" s="170">
        <f>集計表!N39</f>
        <v>60</v>
      </c>
      <c r="H12" s="363">
        <f>集計表!O39</f>
        <v>-70</v>
      </c>
      <c r="I12" s="364">
        <f>集計表!P39</f>
        <v>60</v>
      </c>
      <c r="J12" s="365">
        <f>集計表!Q39</f>
        <v>-10</v>
      </c>
      <c r="K12" s="366">
        <f>集計表!R39</f>
        <v>120</v>
      </c>
      <c r="L12" s="347"/>
      <c r="M12" s="348"/>
      <c r="N12" s="367"/>
      <c r="O12" s="368"/>
      <c r="P12" s="165"/>
      <c r="Q12" s="171">
        <v>60</v>
      </c>
      <c r="R12" s="357">
        <v>130</v>
      </c>
      <c r="S12" s="357"/>
    </row>
    <row r="13" spans="1:27" ht="33.75" customHeight="1" thickBot="1">
      <c r="A13" s="359"/>
      <c r="B13" s="362"/>
      <c r="C13" s="172" t="s">
        <v>159</v>
      </c>
      <c r="D13" s="173">
        <f>集計表!K45</f>
        <v>-30</v>
      </c>
      <c r="E13" s="174">
        <f>集計表!L45</f>
        <v>30</v>
      </c>
      <c r="F13" s="175">
        <f>集計表!M45</f>
        <v>0</v>
      </c>
      <c r="G13" s="176">
        <f>集計表!N45</f>
        <v>60</v>
      </c>
      <c r="H13" s="351"/>
      <c r="I13" s="352"/>
      <c r="J13" s="349"/>
      <c r="K13" s="350"/>
      <c r="L13" s="347"/>
      <c r="M13" s="348"/>
      <c r="N13" s="367"/>
      <c r="O13" s="368"/>
      <c r="P13" s="165"/>
      <c r="Q13" s="171">
        <v>60</v>
      </c>
      <c r="R13" s="357"/>
      <c r="S13" s="357"/>
    </row>
    <row r="14" spans="1:27" ht="33.75" customHeight="1">
      <c r="A14" s="359"/>
      <c r="B14" s="361" t="s">
        <v>222</v>
      </c>
      <c r="C14" s="166" t="s">
        <v>162</v>
      </c>
      <c r="D14" s="167">
        <f>集計表!K52</f>
        <v>-30</v>
      </c>
      <c r="E14" s="168">
        <f>集計表!L52</f>
        <v>30</v>
      </c>
      <c r="F14" s="169">
        <f>集計表!M52</f>
        <v>0</v>
      </c>
      <c r="G14" s="170">
        <f>集計表!N52</f>
        <v>60</v>
      </c>
      <c r="H14" s="363">
        <f>集計表!O52</f>
        <v>0</v>
      </c>
      <c r="I14" s="364">
        <f>集計表!P52</f>
        <v>130</v>
      </c>
      <c r="J14" s="365">
        <f>集計表!Q52</f>
        <v>0</v>
      </c>
      <c r="K14" s="366">
        <f>集計表!R52</f>
        <v>160</v>
      </c>
      <c r="L14" s="347"/>
      <c r="M14" s="348"/>
      <c r="N14" s="367"/>
      <c r="O14" s="368"/>
      <c r="P14" s="165"/>
      <c r="Q14" s="171">
        <v>60</v>
      </c>
      <c r="R14" s="357">
        <v>130</v>
      </c>
      <c r="S14" s="357"/>
    </row>
    <row r="15" spans="1:27" ht="33.75" customHeight="1" thickBot="1">
      <c r="A15" s="360"/>
      <c r="B15" s="362"/>
      <c r="C15" s="172" t="s">
        <v>167</v>
      </c>
      <c r="D15" s="173">
        <f>集計表!K55</f>
        <v>40</v>
      </c>
      <c r="E15" s="174">
        <f>集計表!L55</f>
        <v>100</v>
      </c>
      <c r="F15" s="175">
        <f>集計表!M55</f>
        <v>40</v>
      </c>
      <c r="G15" s="176">
        <f>集計表!N55</f>
        <v>100</v>
      </c>
      <c r="H15" s="351"/>
      <c r="I15" s="352"/>
      <c r="J15" s="349"/>
      <c r="K15" s="350"/>
      <c r="L15" s="351"/>
      <c r="M15" s="352"/>
      <c r="N15" s="349"/>
      <c r="O15" s="350"/>
      <c r="P15" s="165"/>
      <c r="Q15" s="171">
        <v>60</v>
      </c>
      <c r="R15" s="357"/>
      <c r="S15" s="357"/>
    </row>
    <row r="16" spans="1:27" ht="30" customHeight="1">
      <c r="A16" s="358" t="s">
        <v>178</v>
      </c>
      <c r="B16" s="369" t="s">
        <v>223</v>
      </c>
      <c r="C16" s="166" t="s">
        <v>224</v>
      </c>
      <c r="D16" s="167">
        <f>集計表!K62</f>
        <v>110</v>
      </c>
      <c r="E16" s="168">
        <f>集計表!L62</f>
        <v>180</v>
      </c>
      <c r="F16" s="169">
        <f>集計表!M62</f>
        <v>110</v>
      </c>
      <c r="G16" s="170">
        <f>集計表!N62</f>
        <v>180</v>
      </c>
      <c r="H16" s="363">
        <f>集計表!O62</f>
        <v>-100</v>
      </c>
      <c r="I16" s="364">
        <f>集計表!P62</f>
        <v>945</v>
      </c>
      <c r="J16" s="365">
        <f>集計表!Q62</f>
        <v>30</v>
      </c>
      <c r="K16" s="366">
        <f>集計表!R62</f>
        <v>1240</v>
      </c>
      <c r="L16" s="363">
        <f>集計表!S62</f>
        <v>-100</v>
      </c>
      <c r="M16" s="364">
        <f>集計表!T62</f>
        <v>2125</v>
      </c>
      <c r="N16" s="365">
        <f>集計表!U62</f>
        <v>0</v>
      </c>
      <c r="O16" s="366">
        <f>集計表!V62</f>
        <v>2580</v>
      </c>
      <c r="P16" s="165"/>
      <c r="Q16" s="171">
        <v>70</v>
      </c>
      <c r="R16" s="357">
        <v>900</v>
      </c>
      <c r="S16" s="357">
        <v>2250</v>
      </c>
    </row>
    <row r="17" spans="1:19" ht="30" customHeight="1">
      <c r="A17" s="359"/>
      <c r="B17" s="370"/>
      <c r="C17" s="177" t="s">
        <v>182</v>
      </c>
      <c r="D17" s="178">
        <f>集計表!K67</f>
        <v>335</v>
      </c>
      <c r="E17" s="179">
        <f>集計表!L67</f>
        <v>765</v>
      </c>
      <c r="F17" s="180">
        <f>集計表!M67</f>
        <v>500</v>
      </c>
      <c r="G17" s="181">
        <f>集計表!N67</f>
        <v>930</v>
      </c>
      <c r="H17" s="347"/>
      <c r="I17" s="348"/>
      <c r="J17" s="367"/>
      <c r="K17" s="368"/>
      <c r="L17" s="347"/>
      <c r="M17" s="348"/>
      <c r="N17" s="367"/>
      <c r="O17" s="368"/>
      <c r="P17" s="165"/>
      <c r="Q17" s="171">
        <v>430</v>
      </c>
      <c r="R17" s="357"/>
      <c r="S17" s="357"/>
    </row>
    <row r="18" spans="1:19" ht="30" customHeight="1" thickBot="1">
      <c r="A18" s="359"/>
      <c r="B18" s="371"/>
      <c r="C18" s="172" t="s">
        <v>186</v>
      </c>
      <c r="D18" s="173">
        <f>集計表!K88</f>
        <v>-100</v>
      </c>
      <c r="E18" s="174">
        <f>集計表!L88</f>
        <v>0</v>
      </c>
      <c r="F18" s="175">
        <f>集計表!M88</f>
        <v>30</v>
      </c>
      <c r="G18" s="176">
        <f>集計表!N88</f>
        <v>130</v>
      </c>
      <c r="H18" s="351"/>
      <c r="I18" s="352"/>
      <c r="J18" s="349"/>
      <c r="K18" s="350"/>
      <c r="L18" s="347"/>
      <c r="M18" s="348"/>
      <c r="N18" s="367"/>
      <c r="O18" s="368"/>
      <c r="P18" s="165"/>
      <c r="Q18" s="171">
        <v>100</v>
      </c>
      <c r="R18" s="357"/>
      <c r="S18" s="357"/>
    </row>
    <row r="19" spans="1:19" ht="45" customHeight="1">
      <c r="A19" s="359"/>
      <c r="B19" s="369" t="s">
        <v>225</v>
      </c>
      <c r="C19" s="166" t="s">
        <v>189</v>
      </c>
      <c r="D19" s="167">
        <f>集計表!K96</f>
        <v>30</v>
      </c>
      <c r="E19" s="168">
        <f>集計表!L96</f>
        <v>130</v>
      </c>
      <c r="F19" s="169">
        <f>集計表!M96</f>
        <v>60</v>
      </c>
      <c r="G19" s="170">
        <f>集計表!N96</f>
        <v>160</v>
      </c>
      <c r="H19" s="363">
        <f>集計表!O96</f>
        <v>30</v>
      </c>
      <c r="I19" s="364">
        <f>集計表!P96</f>
        <v>1080</v>
      </c>
      <c r="J19" s="365">
        <f>集計表!Q96</f>
        <v>60</v>
      </c>
      <c r="K19" s="366">
        <f>集計表!R96</f>
        <v>1210</v>
      </c>
      <c r="L19" s="347"/>
      <c r="M19" s="348"/>
      <c r="N19" s="367"/>
      <c r="O19" s="368"/>
      <c r="P19" s="165"/>
      <c r="Q19" s="171">
        <v>100</v>
      </c>
      <c r="R19" s="357">
        <v>900</v>
      </c>
      <c r="S19" s="357"/>
    </row>
    <row r="20" spans="1:19" ht="45" customHeight="1">
      <c r="A20" s="359"/>
      <c r="B20" s="370"/>
      <c r="C20" s="182" t="s">
        <v>226</v>
      </c>
      <c r="D20" s="178">
        <f>集計表!K108</f>
        <v>150</v>
      </c>
      <c r="E20" s="179">
        <f>集計表!L108</f>
        <v>300</v>
      </c>
      <c r="F20" s="180">
        <f>集計表!M108</f>
        <v>150</v>
      </c>
      <c r="G20" s="181">
        <f>集計表!N108</f>
        <v>300</v>
      </c>
      <c r="H20" s="347"/>
      <c r="I20" s="348"/>
      <c r="J20" s="367"/>
      <c r="K20" s="368"/>
      <c r="L20" s="347"/>
      <c r="M20" s="348"/>
      <c r="N20" s="367"/>
      <c r="O20" s="368"/>
      <c r="P20" s="165"/>
      <c r="Q20" s="171">
        <v>150</v>
      </c>
      <c r="R20" s="357"/>
      <c r="S20" s="357"/>
    </row>
    <row r="21" spans="1:19" ht="45" customHeight="1" thickBot="1">
      <c r="A21" s="359"/>
      <c r="B21" s="371"/>
      <c r="C21" s="172" t="s">
        <v>227</v>
      </c>
      <c r="D21" s="173">
        <f>集計表!K112</f>
        <v>50</v>
      </c>
      <c r="E21" s="174">
        <f>集計表!L112</f>
        <v>650</v>
      </c>
      <c r="F21" s="175">
        <f>集計表!M112</f>
        <v>150</v>
      </c>
      <c r="G21" s="176">
        <f>集計表!N112</f>
        <v>750</v>
      </c>
      <c r="H21" s="351"/>
      <c r="I21" s="352"/>
      <c r="J21" s="349"/>
      <c r="K21" s="350"/>
      <c r="L21" s="347"/>
      <c r="M21" s="348"/>
      <c r="N21" s="367"/>
      <c r="O21" s="368"/>
      <c r="P21" s="165"/>
      <c r="Q21" s="171">
        <v>600</v>
      </c>
      <c r="R21" s="357"/>
      <c r="S21" s="357"/>
    </row>
    <row r="22" spans="1:19" ht="45" customHeight="1">
      <c r="A22" s="359"/>
      <c r="B22" s="369" t="s">
        <v>206</v>
      </c>
      <c r="C22" s="166" t="s">
        <v>228</v>
      </c>
      <c r="D22" s="167">
        <f>集計表!K125</f>
        <v>-30</v>
      </c>
      <c r="E22" s="168">
        <f>集計表!L125</f>
        <v>70</v>
      </c>
      <c r="F22" s="169">
        <f>集計表!M125</f>
        <v>0</v>
      </c>
      <c r="G22" s="170">
        <f>集計表!N125</f>
        <v>100</v>
      </c>
      <c r="H22" s="363">
        <f>集計表!O125</f>
        <v>-30</v>
      </c>
      <c r="I22" s="364">
        <f>集計表!P125</f>
        <v>100</v>
      </c>
      <c r="J22" s="365">
        <f>集計表!Q125</f>
        <v>0</v>
      </c>
      <c r="K22" s="366">
        <f>集計表!R125</f>
        <v>130</v>
      </c>
      <c r="L22" s="347"/>
      <c r="M22" s="348"/>
      <c r="N22" s="367"/>
      <c r="O22" s="368"/>
      <c r="P22" s="165"/>
      <c r="Q22" s="171">
        <v>100</v>
      </c>
      <c r="R22" s="357">
        <v>130</v>
      </c>
      <c r="S22" s="357"/>
    </row>
    <row r="23" spans="1:19" ht="45" customHeight="1" thickBot="1">
      <c r="A23" s="360"/>
      <c r="B23" s="371"/>
      <c r="C23" s="172" t="s">
        <v>209</v>
      </c>
      <c r="D23" s="173">
        <f>集計表!K127</f>
        <v>0</v>
      </c>
      <c r="E23" s="174">
        <f>集計表!L127</f>
        <v>30</v>
      </c>
      <c r="F23" s="175">
        <f>集計表!M127</f>
        <v>0</v>
      </c>
      <c r="G23" s="176">
        <f>集計表!N127</f>
        <v>30</v>
      </c>
      <c r="H23" s="351"/>
      <c r="I23" s="352"/>
      <c r="J23" s="349"/>
      <c r="K23" s="350"/>
      <c r="L23" s="351"/>
      <c r="M23" s="352"/>
      <c r="N23" s="349"/>
      <c r="O23" s="350"/>
      <c r="P23" s="165"/>
      <c r="Q23" s="171">
        <v>30</v>
      </c>
      <c r="R23" s="357"/>
      <c r="S23" s="357"/>
    </row>
    <row r="26" spans="1:19" ht="20.25" customHeight="1">
      <c r="B26" s="372" t="s">
        <v>276</v>
      </c>
      <c r="C26" s="372"/>
    </row>
    <row r="27" spans="1:19" ht="20.25" customHeight="1">
      <c r="B27" s="372" t="s">
        <v>276</v>
      </c>
      <c r="C27" s="372"/>
      <c r="E27" s="282" t="s">
        <v>277</v>
      </c>
      <c r="F27" s="282"/>
      <c r="G27" s="282"/>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271" t="s">
        <v>229</v>
      </c>
      <c r="B1" s="271"/>
      <c r="C1" s="271"/>
      <c r="D1" s="271"/>
      <c r="E1" s="271"/>
      <c r="F1" s="271"/>
      <c r="G1" s="271"/>
      <c r="H1" s="271"/>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74" t="s">
        <v>96</v>
      </c>
      <c r="B3" s="377" t="s">
        <v>230</v>
      </c>
      <c r="C3" s="187" t="s">
        <v>98</v>
      </c>
      <c r="D3" s="187" t="s">
        <v>231</v>
      </c>
      <c r="E3" s="187" t="s">
        <v>232</v>
      </c>
      <c r="F3" s="188">
        <v>60</v>
      </c>
      <c r="G3" s="379">
        <v>130</v>
      </c>
      <c r="H3" s="381">
        <v>750</v>
      </c>
    </row>
    <row r="4" spans="1:14" ht="42" customHeight="1" thickBot="1">
      <c r="A4" s="375"/>
      <c r="B4" s="378"/>
      <c r="C4" s="189" t="s">
        <v>110</v>
      </c>
      <c r="D4" s="189" t="s">
        <v>233</v>
      </c>
      <c r="E4" s="189" t="s">
        <v>234</v>
      </c>
      <c r="F4" s="190">
        <v>60</v>
      </c>
      <c r="G4" s="380"/>
      <c r="H4" s="382"/>
    </row>
    <row r="5" spans="1:14" ht="42" customHeight="1">
      <c r="A5" s="375"/>
      <c r="B5" s="377" t="s">
        <v>235</v>
      </c>
      <c r="C5" s="187" t="s">
        <v>128</v>
      </c>
      <c r="D5" s="187" t="s">
        <v>236</v>
      </c>
      <c r="E5" s="187" t="s">
        <v>237</v>
      </c>
      <c r="F5" s="188">
        <v>60</v>
      </c>
      <c r="G5" s="379">
        <v>130</v>
      </c>
      <c r="H5" s="382"/>
    </row>
    <row r="6" spans="1:14" ht="61" thickBot="1">
      <c r="A6" s="375"/>
      <c r="B6" s="378"/>
      <c r="C6" s="189" t="s">
        <v>133</v>
      </c>
      <c r="D6" s="189" t="s">
        <v>238</v>
      </c>
      <c r="E6" s="189" t="s">
        <v>239</v>
      </c>
      <c r="F6" s="190">
        <v>60</v>
      </c>
      <c r="G6" s="380"/>
      <c r="H6" s="382"/>
    </row>
    <row r="7" spans="1:14" ht="42" customHeight="1">
      <c r="A7" s="375"/>
      <c r="B7" s="377" t="s">
        <v>240</v>
      </c>
      <c r="C7" s="187" t="s">
        <v>144</v>
      </c>
      <c r="D7" s="187" t="s">
        <v>241</v>
      </c>
      <c r="E7" s="187" t="s">
        <v>242</v>
      </c>
      <c r="F7" s="188">
        <v>60</v>
      </c>
      <c r="G7" s="379">
        <v>130</v>
      </c>
      <c r="H7" s="382"/>
    </row>
    <row r="8" spans="1:14" ht="42" customHeight="1" thickBot="1">
      <c r="A8" s="375"/>
      <c r="B8" s="378"/>
      <c r="C8" s="189" t="s">
        <v>148</v>
      </c>
      <c r="D8" s="189" t="s">
        <v>243</v>
      </c>
      <c r="E8" s="189" t="s">
        <v>244</v>
      </c>
      <c r="F8" s="190">
        <v>60</v>
      </c>
      <c r="G8" s="380"/>
      <c r="H8" s="382"/>
    </row>
    <row r="9" spans="1:14" ht="42" customHeight="1">
      <c r="A9" s="375"/>
      <c r="B9" s="377" t="s">
        <v>245</v>
      </c>
      <c r="C9" s="187" t="s">
        <v>155</v>
      </c>
      <c r="D9" s="187" t="s">
        <v>246</v>
      </c>
      <c r="E9" s="191" t="s">
        <v>247</v>
      </c>
      <c r="F9" s="188">
        <v>60</v>
      </c>
      <c r="G9" s="379">
        <v>130</v>
      </c>
      <c r="H9" s="382"/>
    </row>
    <row r="10" spans="1:14" ht="42" customHeight="1" thickBot="1">
      <c r="A10" s="375"/>
      <c r="B10" s="378"/>
      <c r="C10" s="189" t="s">
        <v>159</v>
      </c>
      <c r="D10" s="189" t="s">
        <v>248</v>
      </c>
      <c r="E10" s="192" t="s">
        <v>249</v>
      </c>
      <c r="F10" s="190">
        <v>60</v>
      </c>
      <c r="G10" s="380"/>
      <c r="H10" s="382"/>
    </row>
    <row r="11" spans="1:14" ht="42" customHeight="1">
      <c r="A11" s="375"/>
      <c r="B11" s="377" t="s">
        <v>250</v>
      </c>
      <c r="C11" s="187" t="s">
        <v>162</v>
      </c>
      <c r="D11" s="187" t="s">
        <v>251</v>
      </c>
      <c r="E11" s="187" t="s">
        <v>252</v>
      </c>
      <c r="F11" s="188">
        <v>60</v>
      </c>
      <c r="G11" s="379">
        <v>130</v>
      </c>
      <c r="H11" s="382"/>
    </row>
    <row r="12" spans="1:14" ht="42" customHeight="1" thickBot="1">
      <c r="A12" s="376"/>
      <c r="B12" s="378"/>
      <c r="C12" s="189" t="s">
        <v>167</v>
      </c>
      <c r="D12" s="189" t="s">
        <v>253</v>
      </c>
      <c r="E12" s="189" t="s">
        <v>254</v>
      </c>
      <c r="F12" s="190">
        <v>60</v>
      </c>
      <c r="G12" s="380"/>
      <c r="H12" s="383"/>
    </row>
    <row r="13" spans="1:14" ht="63" customHeight="1">
      <c r="A13" s="384" t="s">
        <v>178</v>
      </c>
      <c r="B13" s="387" t="s">
        <v>255</v>
      </c>
      <c r="C13" s="187" t="s">
        <v>256</v>
      </c>
      <c r="D13" s="187" t="s">
        <v>257</v>
      </c>
      <c r="E13" s="187"/>
      <c r="F13" s="188">
        <v>70</v>
      </c>
      <c r="G13" s="381">
        <v>900</v>
      </c>
      <c r="H13" s="381">
        <v>2250</v>
      </c>
    </row>
    <row r="14" spans="1:14" ht="96" customHeight="1">
      <c r="A14" s="385"/>
      <c r="B14" s="388"/>
      <c r="C14" s="193" t="s">
        <v>182</v>
      </c>
      <c r="D14" s="193" t="s">
        <v>258</v>
      </c>
      <c r="E14" s="193" t="s">
        <v>259</v>
      </c>
      <c r="F14" s="194">
        <v>430</v>
      </c>
      <c r="G14" s="382"/>
      <c r="H14" s="382"/>
    </row>
    <row r="15" spans="1:14" ht="63" customHeight="1" thickBot="1">
      <c r="A15" s="385"/>
      <c r="B15" s="389"/>
      <c r="C15" s="189" t="s">
        <v>186</v>
      </c>
      <c r="D15" s="189" t="s">
        <v>260</v>
      </c>
      <c r="E15" s="189" t="s">
        <v>261</v>
      </c>
      <c r="F15" s="190">
        <v>100</v>
      </c>
      <c r="G15" s="383"/>
      <c r="H15" s="382"/>
    </row>
    <row r="16" spans="1:14" ht="63" customHeight="1">
      <c r="A16" s="385"/>
      <c r="B16" s="387" t="s">
        <v>262</v>
      </c>
      <c r="C16" s="187" t="s">
        <v>189</v>
      </c>
      <c r="D16" s="187" t="s">
        <v>263</v>
      </c>
      <c r="E16" s="187" t="s">
        <v>264</v>
      </c>
      <c r="F16" s="188">
        <v>100</v>
      </c>
      <c r="G16" s="381">
        <v>900</v>
      </c>
      <c r="H16" s="382"/>
    </row>
    <row r="17" spans="1:14" ht="60">
      <c r="A17" s="385"/>
      <c r="B17" s="388"/>
      <c r="C17" s="195" t="s">
        <v>265</v>
      </c>
      <c r="D17" s="195" t="s">
        <v>266</v>
      </c>
      <c r="E17" s="195" t="s">
        <v>199</v>
      </c>
      <c r="F17" s="196">
        <v>150</v>
      </c>
      <c r="G17" s="382"/>
      <c r="H17" s="382"/>
    </row>
    <row r="18" spans="1:14" ht="76" thickBot="1">
      <c r="A18" s="385"/>
      <c r="B18" s="389"/>
      <c r="C18" s="189" t="s">
        <v>267</v>
      </c>
      <c r="D18" s="189" t="s">
        <v>268</v>
      </c>
      <c r="E18" s="189" t="s">
        <v>202</v>
      </c>
      <c r="F18" s="190">
        <v>600</v>
      </c>
      <c r="G18" s="383"/>
      <c r="H18" s="382"/>
    </row>
    <row r="19" spans="1:14" ht="42" customHeight="1">
      <c r="A19" s="385"/>
      <c r="B19" s="387" t="s">
        <v>206</v>
      </c>
      <c r="C19" s="187" t="s">
        <v>269</v>
      </c>
      <c r="D19" s="187" t="s">
        <v>270</v>
      </c>
      <c r="E19" s="187" t="s">
        <v>271</v>
      </c>
      <c r="F19" s="188">
        <v>100</v>
      </c>
      <c r="G19" s="381">
        <v>130</v>
      </c>
      <c r="H19" s="382"/>
    </row>
    <row r="20" spans="1:14" ht="42" customHeight="1" thickBot="1">
      <c r="A20" s="386"/>
      <c r="B20" s="389"/>
      <c r="C20" s="189" t="s">
        <v>209</v>
      </c>
      <c r="D20" s="189" t="s">
        <v>272</v>
      </c>
      <c r="E20" s="189" t="s">
        <v>210</v>
      </c>
      <c r="F20" s="190">
        <v>30</v>
      </c>
      <c r="G20" s="383"/>
      <c r="H20" s="383"/>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2020-03-24T03:48:48Z</dcterms:modified>
</cp:coreProperties>
</file>